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kkMXxCPFMxY0CXuzYazYWUjIO/Bk3NmT05ZYy26FLpPqmjLZdzuZzTrmxmSRGc9w74u8NUs+tyZHIfEuEO/w+Q==" workbookSaltValue="2FH2R5L+bjLsKZQZEBg3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I10" i="11"/>
  <c r="R10" i="21"/>
  <c r="R13" i="21" s="1"/>
  <c r="R19" i="21" s="1"/>
  <c r="BH17" i="11"/>
  <c r="BU15" i="17"/>
  <c r="BW16" i="20"/>
  <c r="BV10" i="16"/>
  <c r="S15" i="16"/>
  <c r="S18" i="16" s="1"/>
  <c r="BL10" i="11"/>
  <c r="BG16" i="11"/>
  <c r="BK10" i="11"/>
  <c r="S15" i="17"/>
  <c r="S16" i="17"/>
  <c r="V10" i="16"/>
  <c r="S9" i="17"/>
  <c r="V9" i="11"/>
  <c r="BG9" i="11"/>
  <c r="T17" i="16"/>
  <c r="BW15" i="20"/>
  <c r="S11" i="17"/>
  <c r="AZ11" i="11"/>
  <c r="BK16" i="11"/>
  <c r="BM9" i="11"/>
  <c r="Q9" i="11" s="1"/>
  <c r="L17" i="2"/>
  <c r="BW17" i="20"/>
  <c r="BF12" i="1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<sst xmlns="http://schemas.openxmlformats.org/spreadsheetml/2006/main" count="2102" uniqueCount="917">
  <si>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</si>
  <si>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</si>
  <si>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</si>
  <si>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</si>
  <si>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</si>
  <si>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</si>
  <si>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</si>
  <si>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</si>
  <si>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</si>
  <si>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</si>
  <si>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</si>
  <si>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</si>
  <si>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</si>
  <si>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</si>
  <si>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</si>
  <si>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</si>
  <si>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</si>
  <si>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</si>
  <si>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</si>
  <si>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</si>
  <si>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</si>
  <si>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</si>
  <si>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</si>
  <si>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</si>
  <si>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</si>
  <si>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</si>
  <si>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</si>
  <si>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</si>
  <si>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</si>
  <si>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</si>
  <si>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</si>
  <si>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</si>
  <si>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</si>
  <si>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</si>
  <si>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</si>
  <si>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</si>
  <si>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</si>
  <si>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</si>
  <si>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</si>
  <si>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</si>
  <si>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</si>
  <si>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</si>
  <si>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</si>
  <si>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</si>
  <si>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</si>
  <si>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</si>
  <si>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</si>
  <si>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</si>
  <si>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</si>
  <si>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</si>
  <si>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</si>
  <si>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</si>
  <si>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</si>
  <si>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</si>
  <si>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</si>
  <si>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</si>
  <si>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</si>
  <si>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</si>
  <si>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</si>
  <si>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</si>
  <si>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</si>
  <si>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</si>
  <si>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</si>
  <si>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</si>
  <si>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</si>
  <si>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</si>
  <si>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</si>
  <si>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</si>
  <si>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</si>
  <si>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</si>
  <si>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</si>
  <si>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</si>
  <si>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</si>
  <si>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</si>
  <si>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</si>
  <si>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</si>
  <si>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</si>
  <si>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</si>
  <si>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</si>
  <si>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</si>
  <si>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</si>
  <si>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</si>
  <si>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</si>
  <si>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</si>
  <si>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</si>
  <si>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</si>
  <si>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</si>
  <si>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</si>
  <si>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</si>
  <si>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</si>
  <si>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</si>
  <si>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</si>
  <si>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</si>
  <si>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</si>
  <si>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</si>
  <si>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</si>
  <si>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</si>
  <si>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</si>
  <si>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</si>
  <si>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</si>
  <si>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</si>
  <si>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</si>
  <si>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</si>
  <si>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</si>
  <si>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</si>
  <si>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</si>
  <si>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</si>
  <si>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</si>
  <si>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</si>
  <si>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</si>
  <si>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</si>
  <si>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</si>
  <si>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</si>
  <si>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</si>
  <si>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</si>
  <si>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</si>
  <si>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</si>
  <si>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</si>
  <si>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</si>
  <si>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</si>
  <si>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</si>
  <si>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</si>
  <si>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</si>
  <si>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</si>
  <si>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</si>
  <si>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</si>
  <si>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</si>
  <si>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</si>
  <si>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</si>
  <si>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</si>
  <si>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</si>
  <si>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</si>
  <si>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</si>
  <si>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</si>
  <si>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</si>
  <si>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</si>
  <si>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</si>
  <si>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</si>
  <si>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</si>
  <si>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</si>
  <si>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</si>
  <si>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</si>
  <si>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</si>
  <si>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</si>
  <si>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</si>
  <si>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</si>
  <si>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</si>
  <si>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</si>
  <si>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</si>
  <si>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</si>
  <si>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</si>
  <si>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</si>
  <si>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</si>
  <si>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</si>
  <si>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</si>
  <si>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</si>
  <si>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</si>
  <si>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</si>
  <si>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</si>
  <si>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</si>
  <si>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</si>
  <si>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</si>
  <si>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</si>
  <si>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</si>
  <si>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</si>
  <si>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</si>
  <si>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</si>
  <si>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</si>
  <si>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</si>
  <si>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</si>
  <si>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</si>
  <si>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</si>
  <si>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</si>
  <si>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</si>
  <si>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</si>
  <si>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</si>
  <si>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</si>
  <si>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</si>
  <si>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</si>
  <si>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</si>
  <si>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</si>
  <si>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</si>
  <si>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</si>
  <si>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</si>
  <si>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</si>
  <si>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</si>
  <si>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</si>
  <si>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</si>
  <si>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</si>
  <si>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</si>
  <si>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</si>
  <si>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</si>
  <si>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</si>
  <si>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</si>
  <si>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</si>
  <si>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</si>
  <si>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</si>
  <si>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</si>
  <si>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</si>
  <si>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</si>
  <si>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</si>
  <si>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</si>
  <si>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</si>
  <si>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</si>
  <si>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</si>
  <si>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</si>
  <si>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</si>
  <si>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</si>
  <si>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</si>
  <si>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</si>
  <si>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</si>
  <si>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</si>
  <si>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</si>
  <si>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</si>
  <si>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</si>
  <si>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</si>
  <si>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</si>
  <si>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</si>
  <si>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</si>
  <si>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</si>
  <si>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</si>
  <si>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</si>
  <si>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</si>
  <si>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</si>
  <si>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</si>
  <si>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</si>
  <si>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</si>
  <si>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</si>
  <si>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</si>
  <si>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</si>
  <si>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</si>
  <si>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</si>
  <si>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</si>
  <si>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</si>
  <si>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</si>
  <si>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</si>
  <si>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</si>
  <si>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</si>
  <si>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</si>
  <si>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</si>
  <si>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</si>
  <si>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</si>
  <si>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</si>
  <si>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</si>
  <si>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</si>
  <si>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</si>
  <si>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</si>
  <si>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</si>
  <si>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</si>
  <si>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</si>
  <si>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</si>
  <si>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</si>
  <si>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</si>
  <si>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</si>
  <si>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</si>
  <si>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</si>
  <si>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</si>
  <si>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</si>
  <si>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</si>
  <si>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</si>
  <si>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</si>
  <si>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</si>
  <si>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</si>
  <si>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</si>
  <si>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</si>
  <si>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</si>
  <si>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</si>
  <si>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</si>
  <si>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</si>
  <si>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</si>
  <si>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</si>
  <si>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</si>
  <si>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</si>
  <si>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</si>
  <si>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</si>
  <si>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</si>
  <si>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</si>
  <si>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</si>
  <si>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</si>
  <si>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</si>
  <si>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</si>
  <si>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</si>
  <si>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</si>
  <si>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</si>
  <si>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</si>
  <si>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</si>
  <si>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</si>
  <si>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</si>
  <si>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</si>
  <si>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</si>
  <si>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</si>
  <si>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</si>
  <si>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</si>
  <si>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</si>
  <si>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</si>
  <si>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</si>
  <si>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</si>
  <si>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</si>
  <si>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</si>
  <si>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</si>
  <si>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</si>
  <si>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</si>
  <si>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</si>
  <si>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</si>
  <si>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</si>
  <si>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</si>
  <si>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</si>
  <si>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</si>
  <si>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</si>
  <si>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</si>
  <si>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</si>
  <si>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</si>
  <si>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</si>
  <si>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</si>
  <si>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</si>
  <si>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</si>
  <si>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</si>
  <si>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</si>
  <si>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</si>
  <si>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</si>
  <si>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</si>
  <si>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</si>
  <si>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</si>
  <si>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</si>
  <si>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</si>
  <si>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</si>
  <si>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</si>
  <si>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</si>
  <si>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</si>
  <si>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</si>
  <si>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</si>
  <si>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</si>
  <si>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</si>
  <si>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</si>
  <si>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</si>
  <si>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</si>
  <si>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</si>
  <si>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</si>
  <si>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</si>
  <si>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</si>
  <si>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</si>
  <si>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</si>
  <si>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</si>
  <si>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</si>
  <si>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</si>
  <si>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</si>
  <si>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</si>
  <si>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</si>
  <si>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</si>
  <si>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</si>
  <si>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</si>
  <si>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</si>
  <si>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</si>
  <si>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</si>
  <si>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</si>
  <si>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</si>
  <si>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</si>
  <si>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</si>
  <si>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</si>
  <si>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</si>
  <si>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</si>
  <si>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</si>
  <si>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</si>
  <si>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</si>
  <si>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</si>
  <si>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</si>
  <si>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</si>
  <si>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</si>
  <si>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</si>
  <si>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</si>
  <si>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</si>
  <si>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</si>
  <si>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</si>
  <si>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</si>
  <si>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</si>
  <si>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</si>
  <si>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</si>
  <si>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</si>
  <si>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</si>
  <si>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</si>
  <si>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</si>
  <si>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</si>
  <si>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</si>
  <si>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</si>
  <si>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</si>
  <si>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</si>
  <si>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</si>
  <si>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</si>
  <si>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</si>
  <si>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</si>
  <si>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</si>
  <si>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</si>
  <si>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</si>
  <si>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</si>
  <si>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</si>
  <si>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</si>
  <si>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</si>
  <si>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</si>
  <si>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</si>
  <si>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</si>
  <si>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</si>
  <si>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</si>
  <si>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</si>
  <si>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</si>
  <si>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</si>
  <si>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</si>
  <si>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</si>
  <si>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</si>
  <si>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</si>
  <si>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</si>
  <si>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</si>
  <si>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</si>
  <si>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</si>
  <si>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</si>
  <si>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</si>
  <si>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</si>
  <si>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</si>
  <si>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</si>
  <si>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</si>
  <si>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</si>
  <si>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</si>
  <si>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</si>
  <si>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</si>
  <si>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</si>
  <si>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</si>
  <si>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</si>
  <si>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</si>
  <si>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</si>
  <si>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</si>
  <si>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</si>
  <si>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</si>
  <si>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</si>
  <si>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</si>
  <si>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</si>
  <si>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</si>
  <si>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</si>
  <si>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</si>
  <si>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</si>
  <si>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</si>
  <si>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</si>
  <si>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</si>
  <si>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</si>
  <si>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</si>
  <si>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</si>
  <si>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</si>
  <si>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</si>
  <si>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</si>
  <si>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</si>
  <si>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</si>
  <si>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</si>
  <si>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</si>
  <si>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</si>
  <si>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</si>
  <si>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</si>
  <si>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</si>
  <si>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</si>
  <si>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</si>
  <si>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</si>
  <si>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</si>
  <si>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</si>
  <si>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</si>
  <si>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</si>
  <si>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</si>
  <si>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</si>
  <si>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</si>
  <si>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</si>
  <si>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</si>
  <si>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</si>
  <si>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</si>
  <si>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</si>
  <si>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</si>
  <si>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</si>
  <si>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</si>
  <si>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</si>
  <si>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</si>
  <si>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</si>
  <si>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</si>
  <si>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</si>
  <si>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</si>
  <si>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</si>
  <si>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</si>
  <si>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</si>
  <si>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</si>
  <si>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</si>
  <si>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</si>
  <si>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</si>
  <si>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</si>
  <si>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</si>
  <si>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</si>
  <si>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</si>
  <si>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</si>
  <si>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</si>
  <si>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</si>
  <si>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</si>
  <si>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</si>
  <si>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</si>
  <si>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</si>
  <si>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</si>
  <si>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</si>
  <si>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</si>
  <si>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</si>
  <si>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</si>
  <si>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</si>
  <si>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</si>
  <si>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</si>
  <si>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</si>
  <si>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</si>
  <si>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</si>
  <si>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</si>
  <si>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</si>
  <si>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</si>
  <si>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</si>
  <si>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</si>
  <si>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</si>
  <si>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</si>
  <si>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</si>
  <si>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</si>
  <si>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</si>
  <si>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</si>
  <si>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</si>
  <si>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</si>
  <si>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</si>
  <si>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</si>
  <si>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</si>
  <si>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</si>
  <si>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</si>
  <si>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</si>
  <si>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</si>
  <si>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</si>
  <si>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</si>
  <si>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</si>
  <si>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</si>
  <si>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</si>
  <si>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</si>
  <si>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</si>
  <si>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</si>
  <si>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</si>
  <si>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</si>
  <si>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</si>
  <si>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</si>
  <si>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</si>
  <si>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</si>
  <si>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</si>
  <si>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</si>
  <si>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</si>
  <si>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</si>
  <si>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</si>
  <si>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</si>
  <si>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</si>
  <si>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</si>
  <si>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</si>
  <si>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</si>
  <si>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</si>
  <si>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</si>
  <si>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</si>
  <si>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</si>
  <si>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</si>
  <si>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</si>
  <si>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</si>
  <si>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</si>
  <si>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</si>
  <si>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</si>
  <si>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</si>
  <si>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</si>
  <si>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</si>
  <si>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</si>
  <si>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</si>
  <si>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</si>
  <si>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</si>
  <si>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</si>
  <si>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</si>
  <si>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</si>
  <si>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</si>
  <si>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</si>
  <si>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</si>
  <si>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</si>
  <si>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</si>
  <si>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</si>
  <si>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</si>
  <si>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</si>
  <si>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</si>
  <si>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</si>
  <si>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</si>
  <si>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</si>
  <si>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</si>
  <si>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</si>
  <si>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</si>
  <si>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</si>
  <si>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</si>
  <si>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</si>
  <si>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</si>
  <si>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</si>
  <si>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</si>
  <si>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</si>
  <si>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</si>
  <si>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</si>
  <si>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</si>
  <si>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</si>
  <si>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</si>
  <si>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</si>
  <si>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</si>
  <si>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</si>
  <si>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</si>
  <si>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</si>
  <si>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</si>
  <si>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</si>
  <si>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</si>
  <si>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</si>
  <si>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</si>
  <si>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</si>
  <si>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</si>
  <si>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</si>
  <si>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</si>
  <si>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</si>
  <si>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</si>
  <si>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</si>
  <si>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</si>
  <si>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</si>
  <si>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</si>
  <si>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</si>
  <si>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</si>
  <si>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</si>
  <si>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</si>
  <si>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</si>
  <si>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</si>
  <si>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</si>
  <si>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</si>
  <si>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</si>
  <si>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</si>
  <si>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</si>
  <si>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</si>
  <si>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</si>
  <si>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</si>
  <si>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</si>
  <si>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</si>
  <si>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</si>
  <si>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</si>
  <si>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</si>
  <si>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</si>
  <si>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</si>
  <si>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</si>
  <si>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</si>
  <si>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</si>
  <si>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</si>
  <si>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</si>
  <si>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</si>
  <si>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</si>
  <si>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</si>
  <si>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</si>
  <si>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</si>
  <si>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</si>
  <si>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</si>
  <si>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</si>
  <si>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</si>
  <si>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</si>
  <si>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</si>
  <si>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</si>
  <si>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</si>
  <si>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</si>
  <si>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</si>
  <si>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</si>
  <si>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</si>
  <si>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</si>
  <si>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</si>
  <si>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</si>
  <si>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</si>
  <si>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</si>
  <si>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</si>
  <si>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</si>
  <si>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</si>
  <si>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</si>
  <si>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</si>
  <si>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</si>
  <si>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</si>
  <si>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</si>
  <si>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</si>
  <si>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</si>
  <si>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</si>
  <si>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</si>
  <si>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</si>
  <si>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</si>
  <si>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</si>
  <si>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</si>
  <si>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</si>
  <si>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</si>
  <si>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</si>
  <si>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</si>
  <si>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</si>
  <si>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</si>
  <si>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</si>
  <si>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</si>
  <si>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</si>
  <si>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</si>
  <si>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</si>
  <si>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</si>
  <si>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</si>
  <si>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</si>
  <si>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</si>
  <si>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</si>
  <si>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</si>
  <si>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</si>
  <si>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</si>
  <si>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</si>
  <si>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</si>
  <si>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</si>
  <si>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</si>
  <si>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</si>
  <si>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</si>
  <si>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</si>
  <si>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</si>
  <si>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</si>
  <si>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</si>
  <si>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</si>
  <si>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</si>
  <si>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</si>
  <si>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</si>
  <si>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</si>
  <si>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</si>
  <si>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</si>
  <si>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</si>
  <si>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</si>
  <si>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</si>
  <si>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</si>
  <si>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</si>
  <si>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</si>
  <si>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</si>
  <si>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</si>
  <si>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</si>
  <si>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</si>
  <si>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</si>
  <si>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</si>
  <si>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</si>
  <si>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</si>
  <si>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</si>
  <si>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</si>
  <si>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</si>
  <si>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</si>
  <si>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</si>
  <si>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</si>
  <si>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</si>
  <si>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</si>
  <si>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</si>
  <si>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</si>
  <si>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</si>
  <si>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</si>
  <si>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</si>
  <si>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</si>
  <si>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</si>
  <si>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</si>
  <si>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</si>
  <si>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</si>
  <si>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</si>
  <si>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</si>
  <si>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</si>
  <si>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</si>
  <si>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</si>
  <si>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</si>
  <si>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</si>
  <si>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</si>
  <si>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</si>
  <si>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</si>
  <si>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</si>
  <si>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</si>
  <si>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</si>
  <si>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</si>
  <si>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</si>
  <si>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</si>
  <si>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</si>
  <si>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</si>
  <si>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</si>
  <si>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</si>
  <si>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</si>
  <si>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</si>
  <si>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</si>
  <si>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</si>
  <si>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</si>
  <si>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</si>
  <si>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</si>
  <si>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</si>
  <si>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</si>
  <si>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</si>
  <si>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</si>
  <si>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</si>
  <si>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</si>
  <si>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</si>
  <si>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</si>
  <si>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</si>
  <si>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</si>
  <si>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</si>
  <si>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</si>
  <si>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</si>
  <si>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</si>
  <si>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</si>
  <si>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</si>
  <si>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</si>
  <si>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</si>
  <si>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</si>
  <si>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</si>
  <si>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</si>
  <si>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</si>
  <si>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</si>
  <si>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</si>
  <si>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</si>
  <si>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</si>
  <si>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</si>
  <si>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</si>
  <si>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</si>
  <si>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</si>
  <si>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</si>
  <si>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</si>
  <si>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</si>
  <si>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</si>
  <si>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</si>
  <si>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</si>
  <si>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</si>
  <si>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</si>
  <si>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</si>
  <si>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</si>
  <si>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</si>
  <si>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</si>
  <si>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</si>
  <si>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</si>
  <si>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</si>
  <si>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</si>
  <si>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</si>
  <si>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</si>
  <si>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</si>
  <si>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</si>
  <si>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</si>
  <si>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</si>
  <si>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</si>
  <si>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</si>
  <si>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</si>
  <si>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</si>
  <si>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</si>
  <si>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</si>
  <si>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</si>
  <si>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</si>
  <si>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</si>
  <si>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</si>
  <si>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</si>
  <si>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</si>
  <si>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</si>
  <si>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</si>
  <si>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</si>
  <si>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</si>
  <si>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</si>
  <si>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</si>
  <si>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</si>
  <si>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</si>
  <si>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</si>
  <si>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</si>
  <si>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</si>
  <si>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</si>
  <si>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</si>
  <si>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</si>
  <si>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</si>
  <si>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</si>
  <si>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</si>
  <si>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</si>
  <si>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</si>
  <si>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</si>
  <si>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</si>
  <si>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</si>
  <si>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</si>
  <si>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</si>
  <si>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</si>
  <si>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</si>
  <si>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</si>
  <si>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</si>
  <si>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</si>
  <si>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</si>
  <si>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</si>
  <si>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</si>
  <si>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</si>
  <si>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</si>
  <si>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</si>
  <si>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</si>
  <si>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</si>
  <si>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</si>
  <si>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</si>
  <si>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</si>
  <si>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</si>
  <si>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</si>
  <si>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</si>
  <si>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</si>
  <si>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</si>
  <si>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</si>
  <si>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</si>
  <si>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</si>
  <si>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</si>
  <si>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</si>
  <si>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</si>
  <si>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</si>
  <si>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</si>
  <si>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</si>
  <si>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</si>
  <si>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</si>
  <si>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</si>
  <si>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</si>
  <si>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</si>
  <si>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</si>
  <si>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</si>
  <si>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</si>
  <si>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</si>
  <si>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</si>
  <si>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</si>
  <si>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</si>
  <si>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</si>
  <si>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</si>
  <si>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</si>
  <si>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</si>
  <si>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</si>
  <si>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</si>
  <si>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</si>
  <si>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</si>
  <si>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COLLADO VILLALBA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</si>
</sst>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1P9rS0IZygiLnhW+QA29NkGM4J9zVvz0PPdmkPFn52dKqC6GHD7wtwUyKtXaYQ490hZ1fciko+vzmGLvOgl0Q==" saltValue="m2cP4BjUQkiTHtDc0FX8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123</v>
      </c>
      <c r="F10" s="226">
        <f>IF(ISNUMBER(Datos!K10),Datos!K10," - ")</f>
        <v>130</v>
      </c>
      <c r="G10" s="1034" t="str">
        <f>IF(Datos!E10&lt;&gt;"",Datos!E10,Datos!D10)</f>
        <v>37</v>
      </c>
      <c r="H10" s="227">
        <f>IF(ISNUMBER(Datos!L10),Datos!L10," - ")</f>
        <v>35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2.9615384615384612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7.4782290523234547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123</v>
      </c>
      <c r="F13" s="1051">
        <f>SUBTOTAL(9,F9:F12)</f>
        <v>130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1913</v>
      </c>
      <c r="D16" s="225">
        <f>IF(ISNUMBER(IF(D_I="SI",Datos!I16,Datos!I16+Datos!AC16)),IF(D_I="SI",Datos!I16,Datos!I16+Datos!AC16)," - ")</f>
        <v>1846</v>
      </c>
      <c r="E16" s="226">
        <f>IF(ISNUMBER(IF(D_I="SI",Datos!J16,Datos!J16+Datos!AD16)),IF(D_I="SI",Datos!J16,Datos!J16+Datos!AD16)," - ")</f>
        <v>6684</v>
      </c>
      <c r="F16" s="226">
        <f>IF(ISNUMBER(IF(D_I="SI",Datos!K16,Datos!K16+Datos!AE16)),IF(D_I="SI",Datos!K16,Datos!K16+Datos!AE16)," - ")</f>
        <v>6850</v>
      </c>
      <c r="G16" s="1034" t="str">
        <f>IF(Datos!E16&lt;&gt;"",Datos!E16,Datos!D16)</f>
        <v>04</v>
      </c>
      <c r="H16" s="227">
        <f>IF(ISNUMBER(IF(D_I="SI",Datos!L16,Datos!L16+Datos!AF16)),IF(D_I="SI",Datos!L16,Datos!L16+Datos!AF16)," - ")</f>
        <v>1747</v>
      </c>
      <c r="I16" s="1044" t="str">
        <f>IF(ISNUMBER(Datos!AS16/Datos!BM16),Datos!AS16/Datos!BM16," - ")</f>
        <v xml:space="preserve"> - </v>
      </c>
      <c r="J16" s="1045">
        <f>IF(ISNUMBER(Datos!BY16/Datos!CN16),Datos!BY16/Datos!CN16," - ")</f>
        <v>0</v>
      </c>
      <c r="K16" s="230">
        <f t="shared" si="3"/>
        <v>-8.6774699424986931E-2</v>
      </c>
      <c r="L16" s="1025">
        <f>IF(ISNUMBER(NºAsuntos!I16/NºAsuntos!G16),(NºAsuntos!I16/NºAsuntos!G16)*11," - ")</f>
        <v>2.8054014598540147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1097</v>
      </c>
      <c r="F17" s="226">
        <f>IF(ISNUMBER(IF(D_I="SI",Datos!K17,Datos!K17+Datos!AE17)),IF(D_I="SI",Datos!K17,Datos!K17+Datos!AE17)," - ")</f>
        <v>1067</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0.6</v>
      </c>
      <c r="L17" s="1025">
        <f>IF(ISNUMBER(NºAsuntos!I17/NºAsuntos!G17),(NºAsuntos!I17/NºAsuntos!G17)*11," - ")</f>
        <v>0.82474226804123707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1963</v>
      </c>
      <c r="D18" s="1049">
        <f>SUBTOTAL(9,D15:D17)</f>
        <v>1896</v>
      </c>
      <c r="E18" s="1050">
        <f>SUBTOTAL(9,E15:E17)</f>
        <v>7781</v>
      </c>
      <c r="F18" s="1050">
        <f>SUBTOTAL(9,F15:F17)</f>
        <v>7917</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2005</v>
      </c>
      <c r="D19" s="1071">
        <f>SUBTOTAL(9,D9:D18)</f>
        <v>1938</v>
      </c>
      <c r="E19" s="1072">
        <f>SUBTOTAL(9,E9:E18)</f>
        <v>7904</v>
      </c>
      <c r="F19" s="1072">
        <f>SUBTOTAL(9,F9:F18)</f>
        <v>8047</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RdeUIRU+8EO2AU5xD+nIn1S11apVJVr0l0UkcisHBmdFNOVDWM4UpW3y0PzT8fPAcRwMExaxc6UfdNd9YHPAw==" saltValue="pq0cgaJU78TYSUZVs/Qo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H6rg0hOuvjLV7Wz4t5pQfFrFrmUGokUOGdPf01/Ol5al7nZsbqPpA7270kPCFsELtgJZAQdJkQuNTpf/xO6kQ==" saltValue="IuYgJb39uhPvNvXbRP8M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123</v>
      </c>
      <c r="K10" s="181">
        <v>130</v>
      </c>
      <c r="L10" s="181">
        <v>35</v>
      </c>
      <c r="M10" s="181">
        <v>33</v>
      </c>
      <c r="N10" s="181">
        <v>66</v>
      </c>
      <c r="O10" s="181">
        <v>27</v>
      </c>
      <c r="P10" s="181">
        <v>13</v>
      </c>
      <c r="Q10" s="181">
        <v>10</v>
      </c>
      <c r="R10" s="181">
        <v>55</v>
      </c>
      <c r="S10" s="181">
        <v>44</v>
      </c>
      <c r="T10" s="181">
        <v>122</v>
      </c>
      <c r="U10" s="181">
        <v>124</v>
      </c>
      <c r="V10" s="181">
        <v>42</v>
      </c>
      <c r="W10" s="181">
        <v>30</v>
      </c>
      <c r="X10" s="188">
        <v>82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44</v>
      </c>
      <c r="AZ10" s="129">
        <f t="shared" si="0"/>
        <v>122</v>
      </c>
      <c r="BA10" s="129">
        <f t="shared" si="0"/>
        <v>124</v>
      </c>
      <c r="BB10" s="129">
        <f t="shared" si="0"/>
        <v>42</v>
      </c>
      <c r="BC10" s="125">
        <f t="shared" si="0"/>
        <v>30</v>
      </c>
      <c r="BD10" s="126">
        <f>IF(ISNUMBER(BA10/AZ10),BA10/AZ10," - ")</f>
        <v>1.0163934426229508</v>
      </c>
      <c r="BE10" s="127">
        <f>IF(ISNUMBER(BB10/BA10),BB10/BA10, " - ")</f>
        <v>0.33870967741935482</v>
      </c>
      <c r="BF10" s="127">
        <f>IF(ISNUMBER(BC10/BA10),BC10/BA10, " - ")</f>
        <v>0.24193548387096775</v>
      </c>
      <c r="BG10" s="196">
        <f>IF(ISNUMBER((AY10+AZ10)/BA10),(AY10+AZ10)/BA10," - ")</f>
        <v>1.3387096774193548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6333</v>
      </c>
      <c r="J12" s="183">
        <v>10686</v>
      </c>
      <c r="K12" s="183">
        <v>9894</v>
      </c>
      <c r="L12" s="183">
        <v>7355</v>
      </c>
      <c r="M12" s="183">
        <v>1507</v>
      </c>
      <c r="N12" s="183">
        <v>7544</v>
      </c>
      <c r="O12" s="181">
        <v>2888</v>
      </c>
      <c r="P12" s="183">
        <v>1435</v>
      </c>
      <c r="Q12" s="183">
        <v>1302</v>
      </c>
      <c r="R12" s="183">
        <v>7753</v>
      </c>
      <c r="S12" s="183">
        <v>4414</v>
      </c>
      <c r="T12" s="183">
        <v>8858</v>
      </c>
      <c r="U12" s="183">
        <v>7533</v>
      </c>
      <c r="V12" s="183">
        <v>6333</v>
      </c>
      <c r="W12" s="183">
        <v>1195</v>
      </c>
      <c r="X12" s="189">
        <v>5436</v>
      </c>
      <c r="Y12" s="191">
        <v>137</v>
      </c>
      <c r="Z12" s="181">
        <v>987</v>
      </c>
      <c r="AA12" s="181">
        <v>1038</v>
      </c>
      <c r="AB12" s="181">
        <v>77</v>
      </c>
      <c r="AC12" s="183">
        <v>0</v>
      </c>
      <c r="AD12" s="183">
        <v>0</v>
      </c>
      <c r="AE12" s="183">
        <v>0</v>
      </c>
      <c r="AF12" s="189">
        <v>0</v>
      </c>
      <c r="AG12" s="202">
        <v>136</v>
      </c>
      <c r="AH12" s="183">
        <v>1015</v>
      </c>
      <c r="AI12" s="183">
        <v>1014</v>
      </c>
      <c r="AJ12" s="203">
        <v>137</v>
      </c>
      <c r="AK12" s="182">
        <v>0</v>
      </c>
      <c r="AL12" s="183">
        <v>0</v>
      </c>
      <c r="AM12" s="183">
        <v>0</v>
      </c>
      <c r="AN12" s="189">
        <v>0</v>
      </c>
      <c r="AO12" s="259">
        <v>8</v>
      </c>
      <c r="AP12" s="155">
        <v>8</v>
      </c>
      <c r="AQ12" s="155">
        <v>8</v>
      </c>
      <c r="AR12" s="154">
        <v>8</v>
      </c>
      <c r="AS12" s="340" t="s">
        <v>802</v>
      </c>
      <c r="AT12" s="203"/>
      <c r="AU12" s="202"/>
      <c r="AV12" s="203"/>
      <c r="AW12" s="202"/>
      <c r="AX12" s="203"/>
      <c r="AY12" s="126">
        <f t="shared" si="1"/>
        <v>4550</v>
      </c>
      <c r="AZ12" s="127">
        <f t="shared" si="1"/>
        <v>9873</v>
      </c>
      <c r="BA12" s="127">
        <f t="shared" si="1"/>
        <v>8547</v>
      </c>
      <c r="BB12" s="127">
        <f t="shared" si="1"/>
        <v>6470</v>
      </c>
      <c r="BC12" s="125">
        <f>IF(ISNUMBER(X12),X12," - ")</f>
        <v>5436</v>
      </c>
      <c r="BD12" s="126">
        <f t="shared" si="2"/>
        <v>0.86569431783652384</v>
      </c>
      <c r="BE12" s="127">
        <f t="shared" si="3"/>
        <v>0.75699075699075702</v>
      </c>
      <c r="BF12" s="127">
        <f t="shared" si="4"/>
        <v>0.63601263601263602</v>
      </c>
      <c r="BG12" s="196">
        <f t="shared" si="5"/>
        <v>1.6874926874926874</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6375</v>
      </c>
      <c r="J13" s="184">
        <f t="shared" si="6"/>
        <v>10809</v>
      </c>
      <c r="K13" s="184">
        <f t="shared" si="6"/>
        <v>10024</v>
      </c>
      <c r="L13" s="184">
        <f t="shared" si="6"/>
        <v>7390</v>
      </c>
      <c r="M13" s="184">
        <f t="shared" si="6"/>
        <v>1540</v>
      </c>
      <c r="N13" s="184">
        <f t="shared" si="6"/>
        <v>7610</v>
      </c>
      <c r="O13" s="184">
        <f t="shared" si="6"/>
        <v>2915</v>
      </c>
      <c r="P13" s="184">
        <f t="shared" si="6"/>
        <v>1448</v>
      </c>
      <c r="Q13" s="184">
        <f t="shared" si="6"/>
        <v>1312</v>
      </c>
      <c r="R13" s="184">
        <f t="shared" si="6"/>
        <v>7808</v>
      </c>
      <c r="S13" s="184">
        <f t="shared" si="6"/>
        <v>4458</v>
      </c>
      <c r="T13" s="184">
        <f t="shared" si="6"/>
        <v>8980</v>
      </c>
      <c r="U13" s="184">
        <f t="shared" si="6"/>
        <v>7657</v>
      </c>
      <c r="V13" s="184">
        <f t="shared" si="6"/>
        <v>6375</v>
      </c>
      <c r="W13" s="184">
        <f t="shared" si="6"/>
        <v>1225</v>
      </c>
      <c r="X13" s="184">
        <f t="shared" si="6"/>
        <v>5518</v>
      </c>
      <c r="Y13" s="184">
        <f t="shared" si="6"/>
        <v>137</v>
      </c>
      <c r="Z13" s="184">
        <f t="shared" si="6"/>
        <v>987</v>
      </c>
      <c r="AA13" s="184">
        <f t="shared" si="6"/>
        <v>1038</v>
      </c>
      <c r="AB13" s="184">
        <f t="shared" si="6"/>
        <v>77</v>
      </c>
      <c r="AC13" s="184">
        <f t="shared" si="6"/>
        <v>0</v>
      </c>
      <c r="AD13" s="184">
        <f t="shared" si="6"/>
        <v>0</v>
      </c>
      <c r="AE13" s="184">
        <f t="shared" si="6"/>
        <v>0</v>
      </c>
      <c r="AF13" s="184">
        <f>SUBTOTAL(9,AF9:AF12)</f>
        <v>0</v>
      </c>
      <c r="AG13" s="184">
        <f t="shared" ref="AG13:AT13" si="7">SUBTOTAL(9,AG8:AG12)</f>
        <v>136</v>
      </c>
      <c r="AH13" s="184">
        <f t="shared" si="7"/>
        <v>1015</v>
      </c>
      <c r="AI13" s="184">
        <f t="shared" si="7"/>
        <v>1014</v>
      </c>
      <c r="AJ13" s="184">
        <f t="shared" si="7"/>
        <v>137</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4594</v>
      </c>
      <c r="AZ13" s="184">
        <f>SUBTOTAL(9,AZ8:AZ12)</f>
        <v>9995</v>
      </c>
      <c r="BA13" s="184">
        <f>SUBTOTAL(9,BA8:BA12)</f>
        <v>8671</v>
      </c>
      <c r="BB13" s="184">
        <f>SUBTOTAL(9,BB8:BB12)</f>
        <v>6512</v>
      </c>
      <c r="BC13" s="184">
        <f>SUBTOTAL(9,BC8:BC12)</f>
        <v>5466</v>
      </c>
      <c r="BD13" s="205">
        <f>IF(ISNUMBER(BA13/AZ13),BA13/AZ13," - ")</f>
        <v>0.86753376688344175</v>
      </c>
      <c r="BE13" s="206">
        <f>IF(ISNUMBER(BB13/BA13),BB13/BA13, " - ")</f>
        <v>0.75100911082920074</v>
      </c>
      <c r="BF13" s="206">
        <f>IF(ISNUMBER(BC13/BA13),BC13/BA13, " - ")</f>
        <v>0.6303771191327413</v>
      </c>
      <c r="BG13" s="207">
        <f>IF(ISNUMBER((AY13+AZ13)/BA13),(AY13+AZ13)/BA13," - ")</f>
        <v>1.6825049013954561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1846</v>
      </c>
      <c r="J16" s="183">
        <v>6684</v>
      </c>
      <c r="K16" s="183">
        <v>6850</v>
      </c>
      <c r="L16" s="183">
        <v>1747</v>
      </c>
      <c r="M16" s="183">
        <v>749</v>
      </c>
      <c r="N16" s="183">
        <v>4297</v>
      </c>
      <c r="O16" s="181">
        <v>129</v>
      </c>
      <c r="P16" s="183">
        <v>235</v>
      </c>
      <c r="Q16" s="183">
        <v>227</v>
      </c>
      <c r="R16" s="183">
        <v>326</v>
      </c>
      <c r="S16" s="183">
        <v>1345</v>
      </c>
      <c r="T16" s="183">
        <v>7274</v>
      </c>
      <c r="U16" s="183">
        <v>6939</v>
      </c>
      <c r="V16" s="183">
        <v>1846</v>
      </c>
      <c r="W16" s="183">
        <v>793</v>
      </c>
      <c r="X16" s="189">
        <v>4247</v>
      </c>
      <c r="Y16" s="202">
        <v>0</v>
      </c>
      <c r="Z16" s="183">
        <v>0</v>
      </c>
      <c r="AA16" s="183">
        <v>0</v>
      </c>
      <c r="AB16" s="183">
        <v>0</v>
      </c>
      <c r="AC16" s="183">
        <v>1</v>
      </c>
      <c r="AD16" s="183">
        <v>269</v>
      </c>
      <c r="AE16" s="183">
        <v>267</v>
      </c>
      <c r="AF16" s="189">
        <v>3</v>
      </c>
      <c r="AG16" s="202">
        <v>0</v>
      </c>
      <c r="AH16" s="183">
        <v>0</v>
      </c>
      <c r="AI16" s="183">
        <v>0</v>
      </c>
      <c r="AJ16" s="203">
        <v>0</v>
      </c>
      <c r="AK16" s="182">
        <v>4</v>
      </c>
      <c r="AL16" s="183">
        <v>245</v>
      </c>
      <c r="AM16" s="183">
        <v>248</v>
      </c>
      <c r="AN16" s="189">
        <v>1</v>
      </c>
      <c r="AO16" s="259">
        <v>8</v>
      </c>
      <c r="AP16" s="155">
        <v>8</v>
      </c>
      <c r="AQ16" s="155">
        <v>8</v>
      </c>
      <c r="AR16" s="155">
        <v>8</v>
      </c>
      <c r="AS16" s="340" t="s">
        <v>487</v>
      </c>
      <c r="AT16" s="203"/>
      <c r="AU16" s="202"/>
      <c r="AV16" s="203"/>
      <c r="AW16" s="202"/>
      <c r="AX16" s="203"/>
      <c r="AY16" s="126">
        <f t="shared" si="9"/>
        <v>1345</v>
      </c>
      <c r="AZ16" s="127">
        <f t="shared" si="9"/>
        <v>7274</v>
      </c>
      <c r="BA16" s="127">
        <f t="shared" si="9"/>
        <v>6939</v>
      </c>
      <c r="BB16" s="127">
        <f t="shared" si="9"/>
        <v>1846</v>
      </c>
      <c r="BC16" s="125">
        <f>IF(ISNUMBER(W16),W16," - ")</f>
        <v>793</v>
      </c>
      <c r="BD16" s="126">
        <f t="shared" ref="BD16" si="11">IF(ISNUMBER(BA16/AZ16),BA16/AZ16," - ")</f>
        <v>0.95394555952708271</v>
      </c>
      <c r="BE16" s="127">
        <f t="shared" ref="BE16" si="12">IF(ISNUMBER(BB16/BA16),BB16/BA16, " - ")</f>
        <v>0.26603256953451504</v>
      </c>
      <c r="BF16" s="127">
        <f t="shared" ref="BF16" si="13">IF(ISNUMBER(BC16/BA16),BC16/BA16, " - ")</f>
        <v>0.11428159677186915</v>
      </c>
      <c r="BG16" s="196">
        <f t="shared" si="10"/>
        <v>1.2421098140942499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1097</v>
      </c>
      <c r="K17" s="183">
        <v>1067</v>
      </c>
      <c r="L17" s="183">
        <v>80</v>
      </c>
      <c r="M17" s="183">
        <v>135</v>
      </c>
      <c r="N17" s="183">
        <v>434</v>
      </c>
      <c r="O17" s="183">
        <v>19</v>
      </c>
      <c r="P17" s="183">
        <v>20</v>
      </c>
      <c r="Q17" s="183">
        <v>25</v>
      </c>
      <c r="R17" s="183">
        <v>7</v>
      </c>
      <c r="S17" s="183">
        <v>79</v>
      </c>
      <c r="T17" s="183">
        <v>1103</v>
      </c>
      <c r="U17" s="183">
        <v>1132</v>
      </c>
      <c r="V17" s="183">
        <v>50</v>
      </c>
      <c r="W17" s="183">
        <v>125</v>
      </c>
      <c r="X17" s="189">
        <v>614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79</v>
      </c>
      <c r="AZ17" s="129">
        <f t="shared" si="14"/>
        <v>1103</v>
      </c>
      <c r="BA17" s="129">
        <f t="shared" si="14"/>
        <v>1132</v>
      </c>
      <c r="BB17" s="129">
        <f t="shared" si="14"/>
        <v>50</v>
      </c>
      <c r="BC17" s="125">
        <f>IF(ISNUMBER(W17),W17," - ")</f>
        <v>125</v>
      </c>
      <c r="BD17" s="126">
        <f>IF(ISNUMBER(BA17/AZ17),BA17/AZ17," - ")</f>
        <v>1.0262919310970082</v>
      </c>
      <c r="BE17" s="127">
        <f>IF(ISNUMBER(BB17/BA17),BB17/BA17, " - ")</f>
        <v>4.4169611307420496E-2</v>
      </c>
      <c r="BF17" s="127">
        <f>IF(ISNUMBER(BC17/BA17),BC17/BA17, " - ")</f>
        <v>0.11042402826855123</v>
      </c>
      <c r="BG17" s="196">
        <f>IF(ISNUMBER((AY17+AZ17)/BA17),(AY17+AZ17)/BA17," - ")</f>
        <v>1.0441696113074206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1896</v>
      </c>
      <c r="J18" s="184">
        <f t="shared" si="15"/>
        <v>7781</v>
      </c>
      <c r="K18" s="184">
        <f t="shared" si="15"/>
        <v>7917</v>
      </c>
      <c r="L18" s="184">
        <f t="shared" si="15"/>
        <v>1827</v>
      </c>
      <c r="M18" s="184">
        <f t="shared" si="15"/>
        <v>884</v>
      </c>
      <c r="N18" s="184">
        <f t="shared" si="15"/>
        <v>4731</v>
      </c>
      <c r="O18" s="184">
        <f t="shared" si="15"/>
        <v>148</v>
      </c>
      <c r="P18" s="184">
        <f t="shared" si="15"/>
        <v>255</v>
      </c>
      <c r="Q18" s="184">
        <f t="shared" si="15"/>
        <v>252</v>
      </c>
      <c r="R18" s="184">
        <f t="shared" si="15"/>
        <v>333</v>
      </c>
      <c r="S18" s="184">
        <f t="shared" si="15"/>
        <v>1424</v>
      </c>
      <c r="T18" s="184">
        <f t="shared" si="15"/>
        <v>8377</v>
      </c>
      <c r="U18" s="184">
        <f t="shared" si="15"/>
        <v>8071</v>
      </c>
      <c r="V18" s="184">
        <f t="shared" si="15"/>
        <v>1896</v>
      </c>
      <c r="W18" s="184">
        <f t="shared" si="15"/>
        <v>918</v>
      </c>
      <c r="X18" s="184">
        <f t="shared" si="15"/>
        <v>4861</v>
      </c>
      <c r="Y18" s="184">
        <f t="shared" si="15"/>
        <v>0</v>
      </c>
      <c r="Z18" s="184">
        <f t="shared" si="15"/>
        <v>0</v>
      </c>
      <c r="AA18" s="184">
        <f t="shared" si="15"/>
        <v>0</v>
      </c>
      <c r="AB18" s="184">
        <f t="shared" si="15"/>
        <v>0</v>
      </c>
      <c r="AC18" s="184">
        <f t="shared" si="15"/>
        <v>1</v>
      </c>
      <c r="AD18" s="184">
        <f t="shared" si="15"/>
        <v>269</v>
      </c>
      <c r="AE18" s="184">
        <f t="shared" si="15"/>
        <v>267</v>
      </c>
      <c r="AF18" s="184">
        <f t="shared" si="15"/>
        <v>3</v>
      </c>
      <c r="AG18" s="184">
        <f t="shared" si="15"/>
        <v>0</v>
      </c>
      <c r="AH18" s="184">
        <f t="shared" si="15"/>
        <v>0</v>
      </c>
      <c r="AI18" s="184">
        <f t="shared" si="15"/>
        <v>0</v>
      </c>
      <c r="AJ18" s="184">
        <f t="shared" si="15"/>
        <v>0</v>
      </c>
      <c r="AK18" s="184">
        <f t="shared" si="15"/>
        <v>4</v>
      </c>
      <c r="AL18" s="184">
        <f t="shared" si="15"/>
        <v>245</v>
      </c>
      <c r="AM18" s="184">
        <f t="shared" si="15"/>
        <v>248</v>
      </c>
      <c r="AN18" s="184">
        <f t="shared" si="15"/>
        <v>1</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1424</v>
      </c>
      <c r="AZ18" s="184">
        <f>SUBTOTAL(9,AZ14:AZ17)</f>
        <v>8377</v>
      </c>
      <c r="BA18" s="184">
        <f>SUBTOTAL(9,BA14:BA17)</f>
        <v>8071</v>
      </c>
      <c r="BB18" s="184">
        <f>SUBTOTAL(9,BB14:BB17)</f>
        <v>1896</v>
      </c>
      <c r="BC18" s="184">
        <f>SUBTOTAL(9,BC14:BC17)</f>
        <v>918</v>
      </c>
      <c r="BD18" s="205">
        <f>IF(ISNUMBER(BA18/AZ18),BA18/AZ18," - ")</f>
        <v>0.96347140981258206</v>
      </c>
      <c r="BE18" s="206">
        <f>IF(ISNUMBER(BB18/BA18),BB18/BA18, " - ")</f>
        <v>0.23491512823689753</v>
      </c>
      <c r="BF18" s="206">
        <f>IF(ISNUMBER(BC18/BA18),BC18/BA18, " - ")</f>
        <v>0.11374055259571304</v>
      </c>
      <c r="BG18" s="207">
        <f>IF(ISNUMBER((AY18+AZ18)/BA18),(AY18+AZ18)/BA18," - ")</f>
        <v>1.21434766447776</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8271</v>
      </c>
      <c r="J19" s="134">
        <f t="shared" si="18"/>
        <v>18590</v>
      </c>
      <c r="K19" s="134">
        <f t="shared" si="18"/>
        <v>17941</v>
      </c>
      <c r="L19" s="134">
        <f t="shared" si="18"/>
        <v>9217</v>
      </c>
      <c r="M19" s="134">
        <f t="shared" si="18"/>
        <v>2424</v>
      </c>
      <c r="N19" s="134">
        <f t="shared" si="18"/>
        <v>12341</v>
      </c>
      <c r="O19" s="134">
        <f t="shared" si="18"/>
        <v>3063</v>
      </c>
      <c r="P19" s="134">
        <f t="shared" si="18"/>
        <v>1703</v>
      </c>
      <c r="Q19" s="134">
        <f t="shared" si="18"/>
        <v>1564</v>
      </c>
      <c r="R19" s="134">
        <f t="shared" si="18"/>
        <v>8141</v>
      </c>
      <c r="S19" s="134">
        <f t="shared" si="18"/>
        <v>5882</v>
      </c>
      <c r="T19" s="134">
        <f t="shared" si="18"/>
        <v>17357</v>
      </c>
      <c r="U19" s="134">
        <f t="shared" si="18"/>
        <v>15728</v>
      </c>
      <c r="V19" s="134">
        <f t="shared" si="18"/>
        <v>8271</v>
      </c>
      <c r="W19" s="134">
        <f t="shared" si="18"/>
        <v>2143</v>
      </c>
      <c r="X19" s="134">
        <f t="shared" si="18"/>
        <v>10379</v>
      </c>
      <c r="Y19" s="134">
        <f t="shared" si="18"/>
        <v>137</v>
      </c>
      <c r="Z19" s="134">
        <f t="shared" si="18"/>
        <v>987</v>
      </c>
      <c r="AA19" s="134">
        <f t="shared" si="18"/>
        <v>1038</v>
      </c>
      <c r="AB19" s="134">
        <f t="shared" si="18"/>
        <v>77</v>
      </c>
      <c r="AC19" s="134">
        <f t="shared" si="18"/>
        <v>1</v>
      </c>
      <c r="AD19" s="134">
        <f t="shared" si="18"/>
        <v>269</v>
      </c>
      <c r="AE19" s="134">
        <f t="shared" si="18"/>
        <v>267</v>
      </c>
      <c r="AF19" s="134">
        <f t="shared" si="18"/>
        <v>3</v>
      </c>
      <c r="AG19" s="134">
        <f t="shared" si="18"/>
        <v>136</v>
      </c>
      <c r="AH19" s="134">
        <f t="shared" si="18"/>
        <v>1015</v>
      </c>
      <c r="AI19" s="134">
        <f t="shared" si="18"/>
        <v>1014</v>
      </c>
      <c r="AJ19" s="134">
        <f t="shared" si="18"/>
        <v>137</v>
      </c>
      <c r="AK19" s="134">
        <f t="shared" si="18"/>
        <v>4</v>
      </c>
      <c r="AL19" s="134">
        <f t="shared" si="18"/>
        <v>245</v>
      </c>
      <c r="AM19" s="134">
        <f t="shared" si="18"/>
        <v>248</v>
      </c>
      <c r="AN19" s="210">
        <f t="shared" si="18"/>
        <v>1</v>
      </c>
      <c r="AO19" s="211">
        <v>9</v>
      </c>
      <c r="AP19" s="211">
        <v>9</v>
      </c>
      <c r="AQ19" s="211">
        <v>9</v>
      </c>
      <c r="AR19" s="211">
        <v>9</v>
      </c>
      <c r="AS19" s="153">
        <f t="shared" si="18"/>
        <v>0</v>
      </c>
      <c r="AT19" s="153">
        <f t="shared" si="18"/>
        <v>0</v>
      </c>
      <c r="AU19" s="211"/>
      <c r="AV19" s="212"/>
      <c r="AW19" s="211"/>
      <c r="AX19" s="212"/>
      <c r="AY19" s="133">
        <f>SUBTOTAL(9,AY9:AY18)</f>
        <v>6018</v>
      </c>
      <c r="AZ19" s="134">
        <f>SUBTOTAL(9,AZ9:AZ18)</f>
        <v>18372</v>
      </c>
      <c r="BA19" s="134">
        <f>SUBTOTAL(9,BA9:BA18)</f>
        <v>16742</v>
      </c>
      <c r="BB19" s="134">
        <f>SUBTOTAL(9,BB9:BB18)</f>
        <v>8408</v>
      </c>
      <c r="BC19" s="135">
        <f>SUBTOTAL(9,BC9:BC18)</f>
        <v>6384</v>
      </c>
      <c r="BD19" s="213">
        <f>IF(ISNUMBER(BA19/AZ19),BA19/AZ19," - ")</f>
        <v>0.91127803178750277</v>
      </c>
      <c r="BE19" s="210">
        <f>IF(ISNUMBER(BB19/BA19),BB19/BA19, " - ")</f>
        <v>0.5022100107514037</v>
      </c>
      <c r="BF19" s="210">
        <f>IF(ISNUMBER(BC19/BA19),BC19/BA19, " - ")</f>
        <v>0.38131644964759287</v>
      </c>
      <c r="BG19" s="135">
        <f>IF(ISNUMBER((AY19+AZ19)/BA19),(AY19+AZ19)/BA19," - ")</f>
        <v>1.4568151953171664</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UEkpfPjd+BtFd+D64ITxY+EAaqeVVpk1xJcvTp0O5wSL3mbQymp8QakyaMw22mG0sB4zsdIrDSuOWZuLuZLJw==" saltValue="0KFVWMVb/JwQiX0qUMRq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fFQN0GxcC0SeRHNlgXbPTBBVDJg/PHo4uh30wrY468gAJorwACvptC6aGNTeBcrR2LE1imcbYY98V4J9ETmRQ==" saltValue="I8s2r+FZ8yv1xrq4PLaj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130</v>
      </c>
      <c r="AC10" s="226">
        <f>IF(ISNUMBER(Datos!Q10),Datos!Q10," - ")</f>
        <v>10</v>
      </c>
      <c r="AD10" s="334"/>
      <c r="AE10" s="484"/>
      <c r="AF10" s="332">
        <f>IF(ISNUMBER(Datos!L10),Datos!L10,"-")</f>
        <v>35</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33</v>
      </c>
      <c r="BD10" s="229">
        <f>IF(ISNUMBER(Datos!N10),Datos!N10," - ")</f>
        <v>66</v>
      </c>
      <c r="BE10" s="229" t="str">
        <f>IF(ISNUMBER(Datos!BW10),Datos!BW10," - ")</f>
        <v xml:space="preserve"> - </v>
      </c>
      <c r="BF10" s="228" t="str">
        <f>IF(ISNUMBER(Datos!BX10),Datos!BX10," - ")</f>
        <v xml:space="preserve"> - </v>
      </c>
      <c r="BG10" s="243">
        <f>IF(ISNUMBER(Datos!K10/Datos!J10),Datos!K10/Datos!J10," - ")</f>
        <v>1.056910569105691</v>
      </c>
      <c r="BH10" s="260">
        <f>IF(ISNUMBER(((Datos!L10/Datos!K10)*11)/factor_trimestre),((Datos!L10/Datos!K10)*11)/factor_trimestre," - ")</f>
        <v>2.9615384615384612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5.7692307692307696E-2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987</v>
      </c>
      <c r="O12" s="334"/>
      <c r="P12" s="334"/>
      <c r="Q12" s="226">
        <f>IF(ISNUMBER(Datos!P12),Datos!P12,0)</f>
        <v>1435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77</v>
      </c>
      <c r="AI12" s="334" t="str">
        <f>IF(ISNUMBER(Datos!CD12),Datos!CD12,"-")</f>
        <v>-</v>
      </c>
      <c r="AJ12" s="334" t="str">
        <f>IF(ISNUMBER(Datos!EN12),Datos!EN12," - ")</f>
        <v xml:space="preserve"> - </v>
      </c>
      <c r="AK12" s="334"/>
      <c r="AL12" s="479"/>
      <c r="AM12" s="335">
        <f>IF(ISNUMBER(Datos!R12),Datos!R12," - ")</f>
        <v>7753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1507</v>
      </c>
      <c r="BD12" s="229">
        <f>IF(ISNUMBER(Datos!N12),Datos!N12," - ")</f>
        <v>7544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0.9365201747622719</v>
      </c>
      <c r="BH12" s="260">
        <f>IF(ISNUMBER(((IF(J_V="SI",Datos!L12/Datos!K12,(Datos!L12+Datos!AB12)/(Datos!K12+Datos!AA12)))*11)/factor_trimestre),((IF(J_V="SI",Datos!L12/Datos!K12,(Datos!L12+Datos!AB12)/(Datos!K12+Datos!AA12)))*11)/factor_trimestre," - ")</f>
        <v>7.4782290523234547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1.7454068241469816E-2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987</v>
      </c>
      <c r="O13" s="900">
        <f t="shared" si="0"/>
        <v>0</v>
      </c>
      <c r="P13" s="900">
        <f t="shared" si="0"/>
        <v>0</v>
      </c>
      <c r="Q13" s="899">
        <f t="shared" si="0"/>
        <v>1448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130</v>
      </c>
      <c r="AC13" s="899">
        <f t="shared" si="1"/>
        <v>1312</v>
      </c>
      <c r="AD13" s="899">
        <f t="shared" si="1"/>
        <v>0</v>
      </c>
      <c r="AE13" s="899">
        <f t="shared" si="1"/>
        <v>0</v>
      </c>
      <c r="AF13" s="899">
        <f t="shared" si="1"/>
        <v>35</v>
      </c>
      <c r="AG13" s="899">
        <f t="shared" si="1"/>
        <v>0</v>
      </c>
      <c r="AH13" s="899">
        <f t="shared" si="1"/>
        <v>77</v>
      </c>
      <c r="AI13" s="899">
        <f t="shared" si="1"/>
        <v>0</v>
      </c>
      <c r="AJ13" s="899">
        <f t="shared" si="1"/>
        <v>0</v>
      </c>
      <c r="AK13" s="899">
        <f t="shared" si="1"/>
        <v>0</v>
      </c>
      <c r="AL13" s="899">
        <f t="shared" si="1"/>
        <v>0</v>
      </c>
      <c r="AM13" s="899">
        <f t="shared" si="1"/>
        <v>7808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1540</v>
      </c>
      <c r="BD13" s="899">
        <f t="shared" si="1"/>
        <v>7610</v>
      </c>
      <c r="BE13" s="899">
        <f t="shared" si="1"/>
        <v>0</v>
      </c>
      <c r="BF13" s="899">
        <f t="shared" si="1"/>
        <v>0</v>
      </c>
      <c r="BG13" s="899">
        <f>IF(ISNUMBER(Datos!K13/Datos!J13),Datos!K13/Datos!J13," - ")</f>
        <v>0.92737533536867423</v>
      </c>
      <c r="BH13" s="903">
        <f>IF(ISNUMBER(((Datos!L13/Datos!K13)*11)/factor_trimestre),((Datos!L13/Datos!K13)*11)/factor_trimestre," - ")</f>
        <v>8.1095371109337595</v>
      </c>
      <c r="BI13" s="899">
        <f>IF(ISNUMBER('Resol  Asuntos'!D13/NºAsuntos!G13),'Resol  Asuntos'!D13/NºAsuntos!G13," - ")</f>
        <v>0.13921533176640752</v>
      </c>
      <c r="BJ13" s="899" t="str">
        <f>IF(ISNUMBER(Datos!CI13/Datos!CJ13),Datos!CI13/Datos!CJ13," - ")</f>
        <v xml:space="preserve"> - </v>
      </c>
      <c r="BK13" s="899">
        <f>SUBTOTAL(9,BK8:BK12)</f>
        <v>0</v>
      </c>
      <c r="BL13" s="899">
        <f>IF(ISNUMBER((I13-AB13+L13)/(F13)),(I13-AB13+L13)/(F13)," - ")</f>
        <v>-3.0952380952380953</v>
      </c>
      <c r="BM13" s="904">
        <f>SUBTOTAL(9,BM9:BM12)</f>
        <v>7.5146375933777515E-2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1913</v>
      </c>
      <c r="G16" s="598">
        <f>IF(ISNUMBER(IF(D_I="SI",Datos!I16,Datos!I16+Datos!AC16)),IF(D_I="SI",Datos!I16,Datos!I16+Datos!AC16)," - ")</f>
        <v>1846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6850</v>
      </c>
      <c r="AC16" s="226">
        <f>IF(ISNUMBER(Datos!Q16),Datos!Q16," - ")</f>
        <v>227</v>
      </c>
      <c r="AD16" s="334"/>
      <c r="AE16" s="484"/>
      <c r="AF16" s="596">
        <f>IF(ISNUMBER(IF(D_I="SI",Datos!L16,Datos!L16+Datos!AF16)),IF(D_I="SI",Datos!L16,Datos!L16+Datos!AF16)," - ")</f>
        <v>1747</v>
      </c>
      <c r="AG16" s="334"/>
      <c r="AH16" s="334"/>
      <c r="AI16" s="334"/>
      <c r="AJ16" s="334"/>
      <c r="AK16" s="334"/>
      <c r="AL16" s="479"/>
      <c r="AM16" s="335">
        <f>IF(ISNUMBER(Datos!R16),Datos!R16," - ")</f>
        <v>326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749</v>
      </c>
      <c r="BD16" s="229">
        <f>IF(ISNUMBER(Datos!N16),Datos!N16," - ")</f>
        <v>4297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1.0248354278874925</v>
      </c>
      <c r="BH16" s="260">
        <f>IF(ISNUMBER(((IF(D_I="SI",Datos!L16/Datos!K16,(Datos!L16+Datos!AF16)/(Datos!K16+Datos!AE16)))*11)/factor_trimestre),((IF(D_I="SI",Datos!L16/Datos!K16,(Datos!L16+Datos!AF16)/(Datos!K16+Datos!AE16)))*11)/factor_trimestre," - ")</f>
        <v>2.8054014598540147</v>
      </c>
      <c r="BI16" s="243">
        <f>IF(ISNUMBER('Resol  Asuntos'!D16/NºAsuntos!G16),'Resol  Asuntos'!D16/NºAsuntos!G16," - ")</f>
        <v>0.10934306569343066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1067</v>
      </c>
      <c r="AC17" s="226">
        <f>IF(ISNUMBER(Datos!Q17),Datos!Q17," - ")</f>
        <v>25</v>
      </c>
      <c r="AD17" s="334"/>
      <c r="AE17" s="484"/>
      <c r="AF17" s="332">
        <f>IF(ISNUMBER(Datos!L17),Datos!L17,"-")</f>
        <v>80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135</v>
      </c>
      <c r="BD17" s="229">
        <f>IF(ISNUMBER(Datos!N17),Datos!N17," - ")</f>
        <v>434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0.97265268915223335</v>
      </c>
      <c r="BH17" s="260">
        <f>IF(ISNUMBER(((IF(D_I="SI",Datos!L17/Datos!K17,(Datos!L17+Datos!AF17)/(Datos!K17+Datos!AE17)))*11)/factor_trimestre),((IF(D_I="SI",Datos!L17/Datos!K17,(Datos!L17+Datos!AF17)/(Datos!K17+Datos!AE17)))*11)/factor_trimestre," - ")</f>
        <v>0.82474226804123707</v>
      </c>
      <c r="BI17" s="243">
        <f>IF(ISNUMBER('Resol  Asuntos'!D17/NºAsuntos!G17),'Resol  Asuntos'!D17/NºAsuntos!G17," - ")</f>
        <v>0.12652296157450796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1913</v>
      </c>
      <c r="G18" s="898">
        <f>SUBTOTAL(9,G15:G17)</f>
        <v>1896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7917</v>
      </c>
      <c r="AC18" s="899">
        <f t="shared" si="4"/>
        <v>252</v>
      </c>
      <c r="AD18" s="899">
        <f t="shared" si="4"/>
        <v>0</v>
      </c>
      <c r="AE18" s="899">
        <f t="shared" si="4"/>
        <v>0</v>
      </c>
      <c r="AF18" s="899">
        <f t="shared" si="4"/>
        <v>1827</v>
      </c>
      <c r="AG18" s="899">
        <f t="shared" si="4"/>
        <v>0</v>
      </c>
      <c r="AH18" s="899">
        <f t="shared" si="4"/>
        <v>0</v>
      </c>
      <c r="AI18" s="899">
        <f t="shared" si="4"/>
        <v>0</v>
      </c>
      <c r="AJ18" s="899">
        <f t="shared" si="4"/>
        <v>0</v>
      </c>
      <c r="AK18" s="899">
        <f t="shared" si="4"/>
        <v>0</v>
      </c>
      <c r="AL18" s="899">
        <f t="shared" si="4"/>
        <v>0</v>
      </c>
      <c r="AM18" s="899">
        <f t="shared" si="4"/>
        <v>333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884</v>
      </c>
      <c r="BD18" s="899">
        <f t="shared" si="4"/>
        <v>4731</v>
      </c>
      <c r="BE18" s="899">
        <f t="shared" si="4"/>
        <v>0</v>
      </c>
      <c r="BF18" s="899">
        <f t="shared" si="4"/>
        <v>0</v>
      </c>
      <c r="BG18" s="899">
        <f>IF(ISNUMBER(Datos!K18/Datos!J18),Datos!K18/Datos!J18," - ")</f>
        <v>1.0174784732039583</v>
      </c>
      <c r="BH18" s="903">
        <f>IF(ISNUMBER(((Datos!L18/Datos!K18)*11)/factor_trimestre),((Datos!L18/Datos!K18)*11)/factor_trimestre," - ")</f>
        <v>2.5384615384615388</v>
      </c>
      <c r="BI18" s="899">
        <f>SUBTOTAL(9,BI15:BI17)</f>
        <v>0.23586602726793862</v>
      </c>
      <c r="BJ18" s="899">
        <f>SUBTOTAL(9,BJ15:BJ17)</f>
        <v>0</v>
      </c>
      <c r="BK18" s="899">
        <f>SUBTOTAL(9,BK15:BK17)</f>
        <v>0</v>
      </c>
      <c r="BL18" s="899">
        <f>IF(ISNUMBER((I18-AB18+L18)/(F18)),(I18-AB18+L18)/(F18)," - ")</f>
        <v>-4.1385258755880816</v>
      </c>
      <c r="BM18" s="905">
        <f>IF(ISNUMBER((Datos!P18-Datos!Q18)/(Datos!R18-Datos!P18+Datos!Q18)),(Datos!P18-Datos!Q18)/(Datos!R18-Datos!P18+Datos!Q18)," - ")</f>
        <v>9.0909090909090905E-3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1955</v>
      </c>
      <c r="G19" s="820">
        <f t="shared" si="6"/>
        <v>1938</v>
      </c>
      <c r="H19" s="822">
        <f t="shared" si="6"/>
        <v>0</v>
      </c>
      <c r="I19" s="820">
        <f t="shared" si="6"/>
        <v>0</v>
      </c>
      <c r="J19" s="822">
        <f t="shared" si="6"/>
        <v>0</v>
      </c>
      <c r="K19" s="822">
        <f t="shared" si="6"/>
        <v>0</v>
      </c>
      <c r="L19" s="881">
        <f t="shared" si="6"/>
        <v>0</v>
      </c>
      <c r="M19" s="881">
        <f t="shared" si="6"/>
        <v>0</v>
      </c>
      <c r="N19" s="881">
        <f t="shared" si="6"/>
        <v>987</v>
      </c>
      <c r="O19" s="881">
        <f t="shared" si="6"/>
        <v>0</v>
      </c>
      <c r="P19" s="881">
        <f t="shared" si="6"/>
        <v>0</v>
      </c>
      <c r="Q19" s="822">
        <f t="shared" si="6"/>
        <v>1703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8047</v>
      </c>
      <c r="AC19" s="821">
        <f t="shared" si="7"/>
        <v>1564</v>
      </c>
      <c r="AD19" s="821">
        <f t="shared" si="7"/>
        <v>0</v>
      </c>
      <c r="AE19" s="821">
        <f t="shared" si="7"/>
        <v>0</v>
      </c>
      <c r="AF19" s="828">
        <f t="shared" si="7"/>
        <v>1862</v>
      </c>
      <c r="AG19" s="828">
        <f t="shared" si="7"/>
        <v>0</v>
      </c>
      <c r="AH19" s="828">
        <f t="shared" si="7"/>
        <v>77</v>
      </c>
      <c r="AI19" s="828">
        <f t="shared" si="7"/>
        <v>0</v>
      </c>
      <c r="AJ19" s="821">
        <f t="shared" si="7"/>
        <v>0</v>
      </c>
      <c r="AK19" s="828">
        <f t="shared" si="7"/>
        <v>0</v>
      </c>
      <c r="AL19" s="828">
        <f t="shared" si="7"/>
        <v>0</v>
      </c>
      <c r="AM19" s="828">
        <f t="shared" si="7"/>
        <v>8141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2424</v>
      </c>
      <c r="BD19" s="820">
        <f t="shared" si="7"/>
        <v>12341</v>
      </c>
      <c r="BE19" s="820">
        <f t="shared" si="7"/>
        <v>0</v>
      </c>
      <c r="BF19" s="830">
        <f t="shared" si="7"/>
        <v>0</v>
      </c>
      <c r="BG19" s="915">
        <f>IF(ISNUMBER(Datos!K19/Datos!J19),Datos!K19/Datos!J19," - ")</f>
        <v>0.96508875739644973</v>
      </c>
      <c r="BH19" s="915">
        <f>IF(ISNUMBER(((Datos!L19/Datos!K19)*11)/factor_trimestre),((Datos!L19/Datos!K19)*11)/factor_trimestre," - ")</f>
        <v>5.6511342734518699</v>
      </c>
      <c r="BI19" s="813">
        <f>IF(ISNUMBER(Datos!J19/Datos!I19),Datos!J19/Datos!I19," - ")</f>
        <v>2.2476121387982104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-4.1161125319693097</v>
      </c>
      <c r="BM19" s="889">
        <f>IF(ISNUMBER((Datos!P19-Datos!Q19+R19)/(Datos!R19-Datos!P19+Datos!Q19-R19)),(Datos!P19-Datos!Q19+R19)/(Datos!R19-Datos!P19+Datos!Q19-R19)," - ")</f>
        <v>1.7370657335666083E-2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1080.2223536537897</v>
      </c>
      <c r="G21" s="552">
        <f>IF(ISNUMBER(STDEV(G8:G18)),STDEV(G8:G18),"-")</f>
        <v>1000.4854821535392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3839.6064511874129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646.10154000745115</v>
      </c>
      <c r="BD21" s="551"/>
      <c r="BE21" s="551">
        <f>IF(ISNUMBER(STDEV(BE8:BE18)),STDEV(BE8:BE18),"-")</f>
        <v>0</v>
      </c>
      <c r="BF21" s="556">
        <f>IF(ISNUMBER(STDEV(BF8:BF18)),STDEV(BF8:BF18),"-")</f>
        <v>0</v>
      </c>
      <c r="BG21" s="775">
        <f>IF(ISNUMBER(STDEV(BG8:BG18)),STDEV(BG8:BG18),"-")</f>
        <v>5.2010554540103449E-2</v>
      </c>
      <c r="BH21" s="776">
        <f>IF(ISNUMBER(STDEV(BH8:BH18)),STDEV(BH8:BH18),"-")</f>
        <v>2.953787327567865</v>
      </c>
      <c r="BI21" s="249">
        <f>IF(ISNUMBER(STDEV(BI8:BI18)),STDEV(BI8:BI18),"-")</f>
        <v>5.6755264165288123E-2</v>
      </c>
      <c r="BJ21" s="230" t="str">
        <f>IF(ISNUMBER(BL21/BM21),BL21/BM21," - ")</f>
        <v xml:space="preserve"> - </v>
      </c>
      <c r="BK21" s="575"/>
      <c r="BL21" s="559">
        <f>IF(ISNUMBER(STDEV(BL8:BL18)),STDEV(BL8:BL18),"-")</f>
        <v>0.73771586421454172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2lqD5swl/Ki0vCGLIMqPxp27hAFHUJzqgLh8HxGOZzlj76LeyzWCUmE/RabIZcV5sBo3Snkm/QyYVLwWF4KTw==" saltValue="XYOM+nAqMIEDN0YZziF5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COLLADO VILLALBA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130</v>
      </c>
      <c r="Z10" s="619">
        <f>IF(ISNUMBER(Datos!Q10),Datos!Q10," - ")</f>
        <v>10</v>
      </c>
      <c r="AA10" s="332">
        <f>IF(ISNUMBER(Datos!L10),Datos!L10,"-")</f>
        <v>35</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33</v>
      </c>
      <c r="AK10" s="229">
        <f>IF(ISNUMBER(Datos!N10),Datos!N10," - ")</f>
        <v>66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2.9615384615384612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5.7692307692307696E-2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1302</v>
      </c>
      <c r="AA12" s="332" t="str">
        <f>IF(ISNUMBER(IF(J_V="SI",Datos!L12,Datos!L12+Datos!AB12)-IF(Monitorios="SI",Datos!CD12,0)),
                          IF(J_V="SI",Datos!L12,Datos!L12+Datos!AB12)-IF(Monitorios="SI",Datos!CD12,0),
                          " - ")</f>
        <v xml:space="preserve"> - </v>
      </c>
      <c r="AB12" s="334"/>
      <c r="AC12" s="334"/>
      <c r="AD12" s="484"/>
      <c r="AE12" s="484">
        <f>IF(ISNUMBER(Datos!R12),Datos!R12," - ")</f>
        <v>7753</v>
      </c>
      <c r="AF12" s="229" t="str">
        <f>IF(ISNUMBER(Datos!BV12),Datos!BV12," - ")</f>
        <v xml:space="preserve"> - </v>
      </c>
      <c r="AG12" s="225" t="str">
        <f>IF(ISNUMBER(Datos!DV12),Datos!DV12," - ")</f>
        <v xml:space="preserve"> - </v>
      </c>
      <c r="AH12" s="298"/>
      <c r="AI12" s="227"/>
      <c r="AJ12" s="225">
        <f>IF(ISNUMBER(Datos!M12),Datos!M12," - ")</f>
        <v>1507</v>
      </c>
      <c r="AK12" s="229">
        <f>IF(ISNUMBER(Datos!N12),Datos!N12," - ")</f>
        <v>7544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7.4782290523234547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1.7454068241469816E-2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1448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130</v>
      </c>
      <c r="Z13" s="907">
        <f t="shared" si="2"/>
        <v>1312</v>
      </c>
      <c r="AA13" s="900">
        <f t="shared" si="2"/>
        <v>35</v>
      </c>
      <c r="AB13" s="900">
        <f t="shared" si="2"/>
        <v>0</v>
      </c>
      <c r="AC13" s="900">
        <f t="shared" si="2"/>
        <v>0</v>
      </c>
      <c r="AD13" s="900">
        <f t="shared" si="2"/>
        <v>0</v>
      </c>
      <c r="AE13" s="900">
        <f t="shared" si="2"/>
        <v>7808</v>
      </c>
      <c r="AF13" s="908">
        <f t="shared" si="2"/>
        <v>0</v>
      </c>
      <c r="AG13" s="908">
        <f t="shared" si="2"/>
        <v>0</v>
      </c>
      <c r="AH13" s="908">
        <f t="shared" si="2"/>
        <v>0</v>
      </c>
      <c r="AI13" s="908">
        <f t="shared" si="2"/>
        <v>0</v>
      </c>
      <c r="AJ13" s="908">
        <f t="shared" si="2"/>
        <v>1540</v>
      </c>
      <c r="AK13" s="908">
        <f t="shared" si="2"/>
        <v>7610</v>
      </c>
      <c r="AL13" s="908">
        <f t="shared" si="2"/>
        <v>0</v>
      </c>
      <c r="AM13" s="908">
        <f t="shared" si="2"/>
        <v>0</v>
      </c>
      <c r="AN13" s="908">
        <f t="shared" si="2"/>
        <v>0</v>
      </c>
      <c r="AO13" s="904">
        <f>IF(ISNUMBER(((NºAsuntos!I13/NºAsuntos!G13)*11)/factor_trimestre),((NºAsuntos!I13/NºAsuntos!G13)*11)/factor_trimestre," - ")</f>
        <v>7.4251491592840351</v>
      </c>
      <c r="AP13" s="910" t="str">
        <f>IF(ISNUMBER(Datos!CI13/Datos!CJ13),Datos!CI13/Datos!CJ13," - ")</f>
        <v xml:space="preserve"> - </v>
      </c>
      <c r="AQ13" s="928">
        <f t="shared" ref="AQ13:AV13" si="3">SUBTOTAL(9,AQ9:AQ12)</f>
        <v>0</v>
      </c>
      <c r="AR13" s="928">
        <f t="shared" si="3"/>
        <v>7.5146375933777515E-2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1913</v>
      </c>
      <c r="G16" s="225">
        <f>IF(ISNUMBER(IF(D_I="SI",Datos!I16,Datos!I16+Datos!AC16)),IF(D_I="SI",Datos!I16,Datos!I16+Datos!AC16)," - ")</f>
        <v>1846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6850</v>
      </c>
      <c r="Z16" s="619">
        <f>IF(ISNUMBER(Datos!Q16),Datos!Q16," - ")</f>
        <v>227</v>
      </c>
      <c r="AA16" s="332">
        <f>IF(ISNUMBER(IF(D_I="SI",Datos!L16,Datos!L16+Datos!AF16)),IF(D_I="SI",Datos!L16,Datos!L16+Datos!AF16)," - ")</f>
        <v>1747</v>
      </c>
      <c r="AB16" s="334"/>
      <c r="AC16" s="334"/>
      <c r="AD16" s="484"/>
      <c r="AE16" s="484">
        <f>IF(ISNUMBER(Datos!R16),Datos!R16," - ")</f>
        <v>326</v>
      </c>
      <c r="AF16" s="229" t="str">
        <f>IF(ISNUMBER(Datos!BV16),Datos!BV16," - ")</f>
        <v xml:space="preserve"> - </v>
      </c>
      <c r="AG16" s="225"/>
      <c r="AH16" s="298"/>
      <c r="AI16" s="227"/>
      <c r="AJ16" s="225">
        <f>IF(ISNUMBER(Datos!M16),Datos!M16," - ")</f>
        <v>749</v>
      </c>
      <c r="AK16" s="229">
        <f>IF(ISNUMBER(Datos!N16),Datos!N16," - ")</f>
        <v>4297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2.8054014598540147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1067</v>
      </c>
      <c r="Z17" s="619">
        <f>IF(ISNUMBER(Datos!Q17),Datos!Q17," - ")</f>
        <v>25</v>
      </c>
      <c r="AA17" s="332">
        <f>IF(ISNUMBER(Datos!L17),Datos!L17,"-")</f>
        <v>80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135</v>
      </c>
      <c r="AK17" s="229">
        <f>IF(ISNUMBER(Datos!N17),Datos!N17," - ")</f>
        <v>434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0.82474226804123707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1913</v>
      </c>
      <c r="G18" s="898">
        <f>SUBTOTAL(9,G15:G17)</f>
        <v>1896</v>
      </c>
      <c r="H18" s="932">
        <f>SUBTOTAL(9,H15:H17)</f>
        <v>0</v>
      </c>
      <c r="I18" s="911">
        <f>SUBTOTAL(9,I15:I17)</f>
        <v>0</v>
      </c>
      <c r="J18" s="867">
        <f>SUBTOTAL(9,J14:J17)</f>
        <v>0</v>
      </c>
      <c r="K18" s="932">
        <f t="shared" ref="K18:S18" si="4">SUBTOTAL(9,K15:K17)</f>
        <v>0</v>
      </c>
      <c r="L18" s="932">
        <f t="shared" si="4"/>
        <v>0</v>
      </c>
      <c r="M18" s="932">
        <f t="shared" si="4"/>
        <v>0</v>
      </c>
      <c r="N18" s="932">
        <f t="shared" si="4"/>
        <v>255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7917</v>
      </c>
      <c r="Z18" s="932">
        <f t="shared" si="5"/>
        <v>252</v>
      </c>
      <c r="AA18" s="932">
        <f t="shared" si="5"/>
        <v>1827</v>
      </c>
      <c r="AB18" s="932">
        <f t="shared" si="5"/>
        <v>0</v>
      </c>
      <c r="AC18" s="932">
        <f t="shared" si="5"/>
        <v>0</v>
      </c>
      <c r="AD18" s="932">
        <f t="shared" si="5"/>
        <v>0</v>
      </c>
      <c r="AE18" s="932">
        <f t="shared" si="5"/>
        <v>333</v>
      </c>
      <c r="AF18" s="932">
        <f t="shared" si="5"/>
        <v>0</v>
      </c>
      <c r="AG18" s="932">
        <f t="shared" si="5"/>
        <v>0</v>
      </c>
      <c r="AH18" s="932">
        <f t="shared" si="5"/>
        <v>0</v>
      </c>
      <c r="AI18" s="932">
        <f t="shared" si="5"/>
        <v>0</v>
      </c>
      <c r="AJ18" s="932">
        <f t="shared" si="5"/>
        <v>884</v>
      </c>
      <c r="AK18" s="932">
        <f t="shared" si="5"/>
        <v>4731</v>
      </c>
      <c r="AL18" s="932">
        <f t="shared" si="5"/>
        <v>0</v>
      </c>
      <c r="AM18" s="932">
        <f t="shared" si="5"/>
        <v>0</v>
      </c>
      <c r="AN18" s="932">
        <f t="shared" si="5"/>
        <v>0</v>
      </c>
      <c r="AO18" s="934">
        <f>IF(ISNUMBER(((NºAsuntos!I18/NºAsuntos!G18)*11)/factor_trimestre),((NºAsuntos!I18/NºAsuntos!G18)*11)/factor_trimestre," - ")</f>
        <v>2.5384615384615388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1955</v>
      </c>
      <c r="G19" s="820">
        <f t="shared" si="7"/>
        <v>1938</v>
      </c>
      <c r="H19" s="821">
        <f t="shared" si="7"/>
        <v>0</v>
      </c>
      <c r="I19" s="820">
        <f t="shared" si="7"/>
        <v>0</v>
      </c>
      <c r="J19" s="822">
        <f t="shared" si="7"/>
        <v>0</v>
      </c>
      <c r="K19" s="820">
        <f t="shared" si="7"/>
        <v>0</v>
      </c>
      <c r="L19" s="823">
        <f t="shared" si="7"/>
        <v>0</v>
      </c>
      <c r="M19" s="820">
        <f t="shared" si="7"/>
        <v>0</v>
      </c>
      <c r="N19" s="821">
        <f t="shared" si="7"/>
        <v>1703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8047</v>
      </c>
      <c r="Z19" s="827">
        <f t="shared" si="8"/>
        <v>1564</v>
      </c>
      <c r="AA19" s="828">
        <f t="shared" si="8"/>
        <v>1862</v>
      </c>
      <c r="AB19" s="828">
        <f t="shared" si="8"/>
        <v>0</v>
      </c>
      <c r="AC19" s="828">
        <f t="shared" si="8"/>
        <v>0</v>
      </c>
      <c r="AD19" s="829">
        <f t="shared" si="8"/>
        <v>0</v>
      </c>
      <c r="AE19" s="829">
        <f t="shared" si="8"/>
        <v>8141</v>
      </c>
      <c r="AF19" s="830">
        <f t="shared" si="8"/>
        <v>0</v>
      </c>
      <c r="AG19" s="831">
        <f t="shared" si="8"/>
        <v>0</v>
      </c>
      <c r="AH19" s="832">
        <f t="shared" si="8"/>
        <v>0</v>
      </c>
      <c r="AI19" s="830">
        <f t="shared" si="8"/>
        <v>0</v>
      </c>
      <c r="AJ19" s="820">
        <f t="shared" si="8"/>
        <v>2424</v>
      </c>
      <c r="AK19" s="820">
        <f t="shared" si="8"/>
        <v>12341</v>
      </c>
      <c r="AL19" s="820">
        <f t="shared" si="8"/>
        <v>0</v>
      </c>
      <c r="AM19" s="833">
        <f t="shared" si="8"/>
        <v>0</v>
      </c>
      <c r="AN19" s="823">
        <f>IF(ISNUMBER(Datos!K19/Datos!J19),Datos!K19/Datos!J19," - ")</f>
        <v>0.96508875739644973</v>
      </c>
      <c r="AO19" s="823">
        <f>IF(ISNUMBER(FIND("06",Criterios!A8,1)),(IF(ISNUMBER(((Datos!R19/Datos!Q19)*11)/factor_trimestre),((Datos!R19/Datos!Q19)*11)/factor_trimestre," - ")),(IF(ISNUMBER(((Datos!L19/Datos!K19)*11)/factor_trimestre),((Datos!L19/Datos!K19)*11)/factor_trimestre," - ")))</f>
        <v>5.6511342734518699</v>
      </c>
      <c r="AP19" s="834" t="str">
        <f>IF(ISNUMBER(Datos!CI19/Datos!CJ19),Datos!CI19/Datos!CJ19," - ")</f>
        <v xml:space="preserve"> - </v>
      </c>
      <c r="AQ19" s="834">
        <f>IF(OR(ISNUMBER(FIND("01",Criterios!A8,1)),ISNUMBER(FIND("02",Criterios!A8,1)),ISNUMBER(FIND("03",Criterios!A8,1)),ISNUMBER(FIND("04",Criterios!A8,1))),(J19-Y19+K19)/(F19-K19),(I19-Y19+K19)/(F19-K19))</f>
        <v>-4.1161125319693097</v>
      </c>
      <c r="AR19" s="834">
        <f>IF(ISNUMBER((Datos!P19-Datos!Q19+O19)/(Datos!R19-Datos!P19+Datos!Q19-O19)),(Datos!P19-Datos!Q19+O19)/(Datos!R19-Datos!P19+Datos!Q19-O19)," - ")</f>
        <v>1.7370657335666083E-2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1080.2223536537897</v>
      </c>
      <c r="G21" s="552">
        <f>IF(ISNUMBER(STDEV(G8:G18)),STDEV(G8:G18),"-")</f>
        <v>1000.4854821535392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646.10154000745115</v>
      </c>
      <c r="AK21" s="252"/>
      <c r="AL21" s="252">
        <f>IF(ISNUMBER(STDEV(AL8:AL18)),STDEV(AL8:AL18),"-")</f>
        <v>0</v>
      </c>
      <c r="AM21" s="254">
        <f>IF(ISNUMBER(STDEV(AM8:AM18)),STDEV(AM8:AM18),"-")</f>
        <v>0</v>
      </c>
      <c r="AN21" s="539">
        <f>IF(ISNUMBER(STDEV(AN8:AN18)),STDEV(AN8:AN18),"-")</f>
        <v>0</v>
      </c>
      <c r="AO21" s="540">
        <f>IF(ISNUMBER(STDEV(AO8:AO18)),STDEV(AO8:AO18),"-")</f>
        <v>2.7768097232232534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8hn4YMtwll6WYWnhlC6WkqZEVZJ/6aYmdJ+9DPH2h1Hte8p6nRMPQT0KydP18O+6Xrs/qev81WNdrup0z/mcg==" saltValue="4zZdDHNMFlu6lWZR1M3o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DUImwqSG2omuguDKvbcrLGKpduuSNQPtGUv6xKlnQ0S0j8SwhYlciK39VGpSBFwYJNkLZuaocSudDxijpA94w==" saltValue="y/nyp2sBt67gWDEJ6JSs0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w5hTfp4pE8xo2ZBX6DNYH3+ZIl7l1PPWQsmcdGipLKqaznPMeU8fsq7F5YD8Iqj3c86X4ZaZRgg/tBxN9MCQ==" saltValue="O/wSRhSroWT79Tt7kpYL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0.13921533176640752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9.844010513716174E-2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TkFhTuz77qir+ysRPMpwLs93QqBSYGyWUuuCFo3AHXNkF0Il84V3t0U1dtZ2Tn6MAfjWkedJyAqSUdvnYYvxQ==" saltValue="rnG3I4AbO3jDeXFCxttI6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6/d6znLqNaxez7+CPOQQojNEhF/8zLPaClkNKEv9Q9kfTUqMlHnfr0YOKMPbpP7fk/7DN6fabSB1bxCqrigxA==" saltValue="b5nXxfIjl2Rrugcbi1Vw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COLLADO VILLALBA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123</v>
      </c>
      <c r="F10" s="404">
        <f>IF(ISNUMBER(E10/B10),E10/B10," - ")</f>
        <v>123</v>
      </c>
      <c r="G10" s="403">
        <f>IF(ISNUMBER(Datos!K10),Datos!K10," - ")</f>
        <v>130</v>
      </c>
      <c r="H10" s="404">
        <f>IF(ISNUMBER(G10/B10),G10/B10," - ")</f>
        <v>130</v>
      </c>
      <c r="I10" s="403">
        <f>IF(ISNUMBER(Datos!L10),Datos!L10," - ")</f>
        <v>35</v>
      </c>
      <c r="J10" s="404">
        <f>IF(ISNUMBER(I10/B10),I10/B10," - ")</f>
        <v>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6470</v>
      </c>
      <c r="D12" s="404">
        <f>IF(ISNUMBER(C12/Datos!BH12),C12/Datos!BH12," - ")</f>
        <v>808.75</v>
      </c>
      <c r="E12" s="403">
        <f>IF(ISNUMBER(IF(J_V="SI",Datos!J12,Datos!J12+Datos!Z12)),IF(J_V="SI",Datos!J12,Datos!J12+Datos!Z12)," - ")</f>
        <v>11673</v>
      </c>
      <c r="F12" s="404">
        <f>IF(ISNUMBER(E12/B12),E12/B12," - ")</f>
        <v>1459.125</v>
      </c>
      <c r="G12" s="403">
        <f>IF(ISNUMBER(IF(J_V="SI",Datos!K12,Datos!K12+Datos!AA12)),IF(J_V="SI",Datos!K12,Datos!K12+Datos!AA12)," - ")</f>
        <v>10932</v>
      </c>
      <c r="H12" s="404">
        <f>IF(ISNUMBER(G12/B12),G12/B12," - ")</f>
        <v>1366.5</v>
      </c>
      <c r="I12" s="403">
        <f>IF(ISNUMBER(IF(J_V="SI",Datos!L12,Datos!L12+Datos!AB12)),IF(J_V="SI",Datos!L12,Datos!L12+Datos!AB12)," - ")</f>
        <v>7432</v>
      </c>
      <c r="J12" s="404">
        <f>IF(ISNUMBER(I12/B12),I12/B12," - ")</f>
        <v>929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6512</v>
      </c>
      <c r="D13" s="850" t="str">
        <f>IF(ISNUMBER(C13/Datos!BI13),C13/Datos!BI13," - ")</f>
        <v xml:space="preserve"> - </v>
      </c>
      <c r="E13" s="849">
        <f>SUBTOTAL(9,E8:E12)</f>
        <v>11796</v>
      </c>
      <c r="F13" s="850">
        <f>IF(ISNUMBER(E13/B13),E13/B13," - ")</f>
        <v>1310.6666666666667</v>
      </c>
      <c r="G13" s="849">
        <f>SUBTOTAL(9,G8:G12)</f>
        <v>11062</v>
      </c>
      <c r="H13" s="850">
        <f>IF(ISNUMBER(G13/B13),G13/B13," - ")</f>
        <v>1229.1111111111111</v>
      </c>
      <c r="I13" s="849">
        <f>SUBTOTAL(9,I8:I12)</f>
        <v>7467</v>
      </c>
      <c r="J13" s="850">
        <f>IF(ISNUMBER(I13/B13),I13/B13," - ")</f>
        <v>829.66666666666663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1846</v>
      </c>
      <c r="D16" s="404">
        <f>IF(ISNUMBER(C16/Datos!BH16),C16/Datos!BH16," - ")</f>
        <v>230.75</v>
      </c>
      <c r="E16" s="403">
        <f>IF(ISNUMBER(IF(D_I="SI",Datos!J16,Datos!J16+Datos!AD16)),IF(D_I="SI",Datos!J16,Datos!J16+Datos!AD16)," - ")</f>
        <v>6684</v>
      </c>
      <c r="F16" s="404">
        <f>IF(ISNUMBER(E16/B16),E16/B16," - ")</f>
        <v>835.5</v>
      </c>
      <c r="G16" s="403">
        <f>IF(ISNUMBER(IF(D_I="SI",Datos!K16,Datos!K16+Datos!AE16)),IF(D_I="SI",Datos!K16,Datos!K16+Datos!AE16)," - ")</f>
        <v>6850</v>
      </c>
      <c r="H16" s="404">
        <f>IF(ISNUMBER(G16/B16),G16/B16," - ")</f>
        <v>856.25</v>
      </c>
      <c r="I16" s="403">
        <f>IF(ISNUMBER(IF(D_I="SI",Datos!L16,Datos!L16+Datos!AF16)),IF(D_I="SI",Datos!L16,Datos!L16+Datos!AF16)," - ")</f>
        <v>1747</v>
      </c>
      <c r="J16" s="404">
        <f>IF(ISNUMBER(I16/B16),I16/B16," - ")</f>
        <v>218.375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1097</v>
      </c>
      <c r="F17" s="404">
        <f>IF(ISNUMBER(E17/B17),E17/B17," - ")</f>
        <v>1097</v>
      </c>
      <c r="G17" s="403">
        <f>IF(ISNUMBER(IF(D_I="SI",Datos!K17,Datos!K17+Datos!AE17)),IF(D_I="SI",Datos!K17,Datos!K17+Datos!AE17)," - ")</f>
        <v>1067</v>
      </c>
      <c r="H17" s="404">
        <f>IF(ISNUMBER(G17/B17),G17/B17," - ")</f>
        <v>1067</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1896</v>
      </c>
      <c r="D18" s="850" t="str">
        <f>IF(ISNUMBER(C18/Datos!BI18),C18/Datos!BI18," - ")</f>
        <v xml:space="preserve"> - </v>
      </c>
      <c r="E18" s="849">
        <f>SUBTOTAL(9,E14:E17)</f>
        <v>7781</v>
      </c>
      <c r="F18" s="850">
        <f>IF(ISNUMBER(E18/B18),E18/B18," - ")</f>
        <v>864.55555555555554</v>
      </c>
      <c r="G18" s="849">
        <f>SUBTOTAL(9,G14:G17)</f>
        <v>7917</v>
      </c>
      <c r="H18" s="850">
        <f>IF(ISNUMBER(G18/B18),G18/B18," - ")</f>
        <v>879.66666666666663</v>
      </c>
      <c r="I18" s="849">
        <f>SUBTOTAL(9,I14:I17)</f>
        <v>1827</v>
      </c>
      <c r="J18" s="850">
        <f>IF(ISNUMBER(I18/B18),I18/B18," - ")</f>
        <v>203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8408</v>
      </c>
      <c r="D19" s="795" t="str">
        <f>IF(ISNUMBER(C19/Datos!BI19),C19/Datos!BI19," - ")</f>
        <v xml:space="preserve"> - </v>
      </c>
      <c r="E19" s="794">
        <f>SUBTOTAL(9,E9:E18)</f>
        <v>19577</v>
      </c>
      <c r="F19" s="795">
        <f>IF(ISNUMBER(E19/B19),E19/B19," - ")</f>
        <v>2175.2222222222222</v>
      </c>
      <c r="G19" s="794">
        <f>SUBTOTAL(9,G9:G18)</f>
        <v>18979</v>
      </c>
      <c r="H19" s="795">
        <f>IF(ISNUMBER(G19/B19),G19/B19," - ")</f>
        <v>2108.7777777777778</v>
      </c>
      <c r="I19" s="794">
        <f>SUBTOTAL(9,I9:I18)</f>
        <v>9294</v>
      </c>
      <c r="J19" s="795">
        <f>IF(ISNUMBER(I19/B19),I19/B19," - ")</f>
        <v>1032.6666666666667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8T8MCLtFUsxXWxSP/CLLR82Qvzp+wfenOjP5Xl2p/1h7x6WGQv3yPtj/eaB1/drqe9FSXluGREwgMLY9/+g4+Q==" saltValue="730PL4vOQbHAunvFYnhD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COLLADO VILLALBA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130</v>
      </c>
      <c r="AC10" s="683" t="str">
        <f>IF(ISNUMBER(IF(D_I="SI",DatosP!K17,DatosP!K17+DatosP!AE17)),IF(D_I="SI",DatosP!K17,DatosP!K17+DatosP!AE17)," - ")</f>
        <v xml:space="preserve"> - </v>
      </c>
      <c r="AD10" s="685"/>
      <c r="AE10" s="685"/>
      <c r="AF10" s="688">
        <f>IF(ISNUMBER(Datos!L10),Datos!L10,"-")</f>
        <v>35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33</v>
      </c>
      <c r="AM10" s="690">
        <f>IF(ISNUMBER(Datos!N10+DatosP!N17),Datos!N10+DatosP!N17," - ")</f>
        <v>66</v>
      </c>
      <c r="AN10" s="690">
        <f>IF(ISNUMBER(Datos!BW10+DatosP!BW17),Datos!BW10+DatosP!BW17," - ")</f>
        <v>0</v>
      </c>
      <c r="AO10" s="691">
        <f>IF(ISNUMBER(Datos!BX10+DatosP!BX17),Datos!BX10+DatosP!BX17," - ")</f>
        <v>0</v>
      </c>
      <c r="AP10" s="693">
        <f>IF(ISNUMBER(((Datos!L10/Datos!K10)*11)/factor_trimestre),((Datos!L10/Datos!K10)*11)/factor_trimestre," - ")</f>
        <v>2.9615384615384612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7753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1507</v>
      </c>
      <c r="AM12" s="690">
        <f>IF(ISNUMBER(Datos!N12+DatosP!N16),Datos!N12+DatosP!N16," - ")</f>
        <v>7544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7.4782290523234547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1.7454068241469816E-2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1448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130</v>
      </c>
      <c r="AC13" s="939">
        <f t="shared" si="1"/>
        <v>0</v>
      </c>
      <c r="AD13" s="939">
        <f t="shared" si="1"/>
        <v>1302</v>
      </c>
      <c r="AE13" s="939">
        <f t="shared" si="1"/>
        <v>0</v>
      </c>
      <c r="AF13" s="939">
        <f t="shared" si="1"/>
        <v>35</v>
      </c>
      <c r="AG13" s="939">
        <f t="shared" si="1"/>
        <v>0</v>
      </c>
      <c r="AH13" s="939">
        <f t="shared" si="1"/>
        <v>7753</v>
      </c>
      <c r="AI13" s="939">
        <f t="shared" si="1"/>
        <v>0</v>
      </c>
      <c r="AJ13" s="939">
        <f t="shared" si="1"/>
        <v>0</v>
      </c>
      <c r="AK13" s="939">
        <f t="shared" si="1"/>
        <v>0</v>
      </c>
      <c r="AL13" s="939">
        <f t="shared" si="1"/>
        <v>1540</v>
      </c>
      <c r="AM13" s="939">
        <f t="shared" si="1"/>
        <v>7610</v>
      </c>
      <c r="AN13" s="939">
        <f t="shared" si="1"/>
        <v>0</v>
      </c>
      <c r="AO13" s="939">
        <f t="shared" si="1"/>
        <v>0</v>
      </c>
      <c r="AP13" s="944">
        <f>IF(ISNUMBER(((Datos!L13/Datos!K13)*11)/factor_trimestre),((Datos!L13/Datos!K13)*11)/factor_trimestre," - ")</f>
        <v>8.1095371109337595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-3.0952380952380953</v>
      </c>
      <c r="AU13" s="939" t="str">
        <f>IF(ISNUMBER((DatosP!#REF!-DatosP!#REF!+DatosP!#REF!)/(DatosP!#REF!+DatosP!#REF!-DatosP!#REF!-DatosP!#REF!)),(DatosP!#REF!-DatosP!#REF!+DatosP!#REF!)/(DatosP!#REF!+DatosP!#REF!-DatosP!#REF!-DatosP!#REF!)," - ")</f>
        <v xml:space="preserve"> - </v>
      </c>
      <c r="AV13" s="945">
        <f>SUBTOTAL(9,AV9:AV12)</f>
        <v>1.7454068241469816E-2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2.5384615384615388</v>
      </c>
      <c r="AQ18" s="944">
        <f>IF(ISNUMBER(((Datos!M18/Datos!L18)*11)/factor_trimestre),((Datos!M18/Datos!L18)*11)/factor_trimestre," - ")</f>
        <v>5.3223864258347016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9.0909090909090905E-3</v>
      </c>
      <c r="AW18" s="946">
        <f>IF(ISNUMBER((Datos!Q18-Datos!R18)/(Datos!S18-Datos!Q18+Datos!R18)),(Datos!Q18-Datos!R18)/(Datos!S18-Datos!Q18+Datos!R18)," - ")</f>
        <v>-5.3820598006644516E-2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1448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130</v>
      </c>
      <c r="AC19" s="957">
        <f t="shared" si="5"/>
        <v>0</v>
      </c>
      <c r="AD19" s="957">
        <f t="shared" si="5"/>
        <v>1302</v>
      </c>
      <c r="AE19" s="957">
        <f t="shared" si="5"/>
        <v>0</v>
      </c>
      <c r="AF19" s="958">
        <f t="shared" si="5"/>
        <v>35</v>
      </c>
      <c r="AG19" s="958">
        <f t="shared" si="5"/>
        <v>0</v>
      </c>
      <c r="AH19" s="958">
        <f t="shared" si="5"/>
        <v>7753</v>
      </c>
      <c r="AI19" s="958">
        <f t="shared" si="5"/>
        <v>0</v>
      </c>
      <c r="AJ19" s="959">
        <f t="shared" si="5"/>
        <v>0</v>
      </c>
      <c r="AK19" s="959">
        <f t="shared" si="5"/>
        <v>0</v>
      </c>
      <c r="AL19" s="951">
        <f t="shared" si="5"/>
        <v>1540</v>
      </c>
      <c r="AM19" s="951">
        <f t="shared" si="5"/>
        <v>7610</v>
      </c>
      <c r="AN19" s="951">
        <f t="shared" si="5"/>
        <v>0</v>
      </c>
      <c r="AO19" s="951">
        <f t="shared" si="5"/>
        <v>0</v>
      </c>
      <c r="AP19" s="951">
        <f>IF(ISNUMBER(((Datos!L19/Datos!K19)*11)/factor_trimestre),((Datos!L19/Datos!K19)*11)/factor_trimestre," - ")</f>
        <v>5.6511342734518699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-3.0952380952380953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1.7370657335666083E-2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75.055534994651353</v>
      </c>
      <c r="AC21" s="738">
        <f>IF(ISNUMBER(STDEV(AC8:AC18)),STDEV(AC8:AC18),"-")</f>
        <v>0</v>
      </c>
      <c r="AD21" s="741"/>
      <c r="AE21" s="741"/>
      <c r="AF21" s="741"/>
      <c r="AG21" s="741"/>
      <c r="AH21" s="741"/>
      <c r="AI21" s="741"/>
      <c r="AJ21" s="742">
        <f>IF(ISNUMBER(STDEV(AJ8:AJ18)),STDEV(AJ8:AJ18),"-")</f>
        <v>0</v>
      </c>
      <c r="AK21" s="744"/>
      <c r="AL21" s="736">
        <f>IF(ISNUMBER(STDEV(AL8:AL18)),STDEV(AL8:AL18),"-")</f>
        <v>870.27543532684717</v>
      </c>
      <c r="AM21" s="736"/>
      <c r="AN21" s="736">
        <f>IF(ISNUMBER(STDEV(AN8:AN18)),STDEV(AN8:AN18),"-")</f>
        <v>0</v>
      </c>
      <c r="AO21" s="742">
        <f>IF(ISNUMBER(STDEV(AO8:AO18)),STDEV(AO8:AO18),"-")</f>
        <v>0</v>
      </c>
      <c r="AP21" s="779">
        <f>IF(ISNUMBER(STDEV(AP8:AP18)),STDEV(AP8:AP18),"-")</f>
        <v>2.9285678248928306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DU/DlyELK81x6hfWjQHIYu0iGS0LnRvAM3ic2dIWEyEe8EaPRNy+fygiBKbeSSN8dgyR3201xlCrIpUwnm/4g==" saltValue="lx6OcjI8syqvrB7arUrT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COLLADO VILLALBA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UFaO/ApTnckBXE6OZ53UpEeO/oL0lfX0rOoUQQ/N2VYtqhj2p+KG8cRhRjriqNI/dEnGc9MJWKlXW3xNGfH6Q==" saltValue="+dnCADzQ9VUudNoosvBh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COLLADO VILLALBA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33</v>
      </c>
      <c r="E10" s="404">
        <f>IF(ISNUMBER(D10/B10),D10/B10," - ")</f>
        <v>33</v>
      </c>
      <c r="F10" s="403">
        <f>IF(ISNUMBER(Datos!N10),Datos!N10," - ")</f>
        <v>66</v>
      </c>
      <c r="G10" s="404">
        <f>IF(ISNUMBER(F10/B10),F10/B10," - ")</f>
        <v>66</v>
      </c>
      <c r="H10" s="403">
        <f>IF(ISNUMBER(Datos!O10),Datos!O10," - ")</f>
        <v>27</v>
      </c>
      <c r="I10" s="404">
        <f t="shared" ref="I10:I12" si="2">IF(ISNUMBER(H10/B10),H10/B10," - ")</f>
        <v>27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1507</v>
      </c>
      <c r="E12" s="404">
        <f t="shared" si="0"/>
        <v>188.375</v>
      </c>
      <c r="F12" s="403">
        <f>IF(ISNUMBER(Datos!N12),Datos!N12," - ")</f>
        <v>7544</v>
      </c>
      <c r="G12" s="404">
        <f t="shared" si="1"/>
        <v>943</v>
      </c>
      <c r="H12" s="403">
        <f>IF(ISNUMBER(Datos!O12),Datos!O12," - ")</f>
        <v>2888</v>
      </c>
      <c r="I12" s="404">
        <f t="shared" si="2"/>
        <v>361</v>
      </c>
      <c r="BZ12" s="1186">
        <f>Datos!EZ12</f>
        <v>0</v>
      </c>
    </row>
    <row r="13" spans="1:78" ht="14.25" thickTop="1" thickBot="1">
      <c r="A13" s="848" t="str">
        <f>Datos!A13</f>
        <v>TOTAL</v>
      </c>
      <c r="B13" s="849">
        <f>Datos!AP13</f>
        <v>9</v>
      </c>
      <c r="C13" s="851">
        <f>Datos!AR13</f>
        <v>9</v>
      </c>
      <c r="D13" s="849">
        <f>SUBTOTAL(9,D9:D12)</f>
        <v>1540</v>
      </c>
      <c r="E13" s="850">
        <f t="shared" si="0"/>
        <v>171.11111111111111</v>
      </c>
      <c r="F13" s="849">
        <f>SUBTOTAL(9,F9:F12)</f>
        <v>7610</v>
      </c>
      <c r="G13" s="850">
        <f t="shared" si="1"/>
        <v>845.55555555555554</v>
      </c>
      <c r="H13" s="849">
        <f>SUBTOTAL(9,H9:H12)</f>
        <v>2915</v>
      </c>
      <c r="I13" s="850">
        <f>IF(ISNUMBER(H13/B13),H13/B13," - ")</f>
        <v>323.88888888888891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749</v>
      </c>
      <c r="E16" s="404">
        <f t="shared" si="3"/>
        <v>93.625</v>
      </c>
      <c r="F16" s="403">
        <f>IF(ISNUMBER(Datos!N16),Datos!N16," - ")</f>
        <v>4297</v>
      </c>
      <c r="G16" s="404">
        <f t="shared" si="4"/>
        <v>537.125</v>
      </c>
      <c r="H16" s="403">
        <f>IF(ISNUMBER(Datos!O16),Datos!O16," - ")</f>
        <v>129</v>
      </c>
      <c r="I16" s="404">
        <f t="shared" si="5"/>
        <v>16.125</v>
      </c>
      <c r="BZ16" s="1186">
        <f>Datos!EZ16</f>
        <v>0</v>
      </c>
    </row>
    <row r="17" spans="1:78" ht="13.5" thickBot="1">
      <c r="A17" s="402" t="str">
        <f>Datos!A17</f>
        <v>Jdos. Violencia contra la mujer</v>
      </c>
      <c r="B17" s="427">
        <f>Datos!AO17</f>
        <v>1</v>
      </c>
      <c r="C17" s="428">
        <f>Datos!AQ17</f>
        <v>1</v>
      </c>
      <c r="D17" s="403">
        <f>IF(ISNUMBER(Datos!M17),Datos!M17," - ")</f>
        <v>135</v>
      </c>
      <c r="E17" s="404">
        <f>IF(ISNUMBER(D17/B17),D17/B17," - ")</f>
        <v>135</v>
      </c>
      <c r="F17" s="403">
        <f>IF(ISNUMBER(Datos!N17),Datos!N17," - ")</f>
        <v>434</v>
      </c>
      <c r="G17" s="404">
        <f>IF(ISNUMBER(F17/B17),F17/B17," - ")</f>
        <v>434</v>
      </c>
      <c r="H17" s="403">
        <f>IF(ISNUMBER(Datos!O17),Datos!O17," - ")</f>
        <v>19</v>
      </c>
      <c r="I17" s="404">
        <f t="shared" si="5"/>
        <v>19</v>
      </c>
      <c r="BZ17" s="1186">
        <f>Datos!EZ17</f>
        <v>0</v>
      </c>
    </row>
    <row r="18" spans="1:78" ht="14.25" thickTop="1" thickBot="1">
      <c r="A18" s="848" t="str">
        <f>Datos!A18</f>
        <v>TOTAL</v>
      </c>
      <c r="B18" s="849">
        <f>Datos!AP18</f>
        <v>9</v>
      </c>
      <c r="C18" s="851">
        <f>Datos!AR18</f>
        <v>9</v>
      </c>
      <c r="D18" s="849">
        <f>SUBTOTAL(9,D15:D17)</f>
        <v>884</v>
      </c>
      <c r="E18" s="850">
        <f t="shared" si="3"/>
        <v>98.222222222222229</v>
      </c>
      <c r="F18" s="849">
        <f>SUBTOTAL(9,F15:F17)</f>
        <v>4731</v>
      </c>
      <c r="G18" s="850">
        <f t="shared" si="4"/>
        <v>525.66666666666663</v>
      </c>
      <c r="H18" s="849">
        <f>SUBTOTAL(9,H15:H17)</f>
        <v>148</v>
      </c>
      <c r="I18" s="850">
        <f>IF(ISNUMBER(H18/B18),H18/B18," - ")</f>
        <v>16.444444444444443</v>
      </c>
      <c r="BZ18" s="1186"/>
    </row>
    <row r="19" spans="1:78" ht="14.25" thickTop="1" thickBot="1">
      <c r="A19" s="793" t="str">
        <f>Datos!A19</f>
        <v>TOTAL JURISDICCIONES</v>
      </c>
      <c r="B19" s="794">
        <f>Datos!AP19</f>
        <v>9</v>
      </c>
      <c r="C19" s="794">
        <f>Datos!AR19</f>
        <v>9</v>
      </c>
      <c r="D19" s="794">
        <f>SUBTOTAL(9,D8:D18)</f>
        <v>2424</v>
      </c>
      <c r="E19" s="795">
        <f>IF(ISNUMBER(D19/B19),D19/B19," - ")</f>
        <v>269.33333333333331</v>
      </c>
      <c r="F19" s="794">
        <f>SUBTOTAL(9,F8:F18)</f>
        <v>12341</v>
      </c>
      <c r="G19" s="795">
        <f>IF(ISNUMBER(F19/B19),F19/B19," - ")</f>
        <v>1371.2222222222222</v>
      </c>
      <c r="H19" s="794">
        <f>SUBTOTAL(9,H8:H18)</f>
        <v>3063</v>
      </c>
      <c r="I19" s="795">
        <f>IF(ISNUMBER(H19/B19),H19/B19," - ")</f>
        <v>340.33333333333331</v>
      </c>
    </row>
    <row r="22" spans="1:78">
      <c r="A22" s="391" t="str">
        <f>Criterios!A4</f>
        <v>Fecha Informe: 28 feb. 2025</v>
      </c>
    </row>
    <row r="27" spans="1:78">
      <c r="A27" s="414"/>
    </row>
  </sheetData>
  <sheetProtection algorithmName="SHA-512" hashValue="9pyHh/WI3ZtnuYbUl3PMxxxhc620JFOUT4/BzaXPEqNuZ8EjNZCvMe5cORgvV0swK/mtNYLu7IjTohDifliNaQ==" saltValue="cPMDdDHHcEdo8fW3HZ4a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COLLADO VILLALBA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13</v>
      </c>
      <c r="C10" s="434">
        <f>IF(ISNUMBER(Datos!Q10),Datos!Q10," - ")</f>
        <v>10</v>
      </c>
      <c r="D10" s="408">
        <f>IF(ISNUMBER(Datos!R10),Datos!R10," - ")</f>
        <v>55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1435</v>
      </c>
      <c r="C12" s="434">
        <f>IF(ISNUMBER(Datos!Q12),Datos!Q12," - ")</f>
        <v>1302</v>
      </c>
      <c r="D12" s="408">
        <f>IF(ISNUMBER(Datos!R12),Datos!R12," - ")</f>
        <v>7753</v>
      </c>
    </row>
    <row r="13" spans="1:4" ht="14.25" thickTop="1" thickBot="1">
      <c r="A13" s="848" t="str">
        <f>Datos!A13</f>
        <v>TOTAL</v>
      </c>
      <c r="B13" s="849">
        <f>SUBTOTAL(9,B9:B12)</f>
        <v>1448</v>
      </c>
      <c r="C13" s="853">
        <f>SUBTOTAL(9,C9:C12)</f>
        <v>1312</v>
      </c>
      <c r="D13" s="851">
        <f>SUBTOTAL(9,D9:D12)</f>
        <v>7808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235</v>
      </c>
      <c r="C16" s="434">
        <f>IF(ISNUMBER(Datos!Q16),Datos!Q16," - ")</f>
        <v>227</v>
      </c>
      <c r="D16" s="408">
        <f>IF(ISNUMBER(Datos!R16),Datos!R16," - ")</f>
        <v>326</v>
      </c>
    </row>
    <row r="17" spans="1:4" ht="13.5" thickBot="1">
      <c r="A17" s="402" t="str">
        <f>Datos!A17</f>
        <v>Jdos. Violencia contra la mujer</v>
      </c>
      <c r="B17" s="433">
        <f>IF(ISNUMBER(Datos!P17),Datos!P17," - ")</f>
        <v>20</v>
      </c>
      <c r="C17" s="434">
        <f>IF(ISNUMBER(Datos!Q17),Datos!Q17," - ")</f>
        <v>25</v>
      </c>
      <c r="D17" s="408">
        <f>IF(ISNUMBER(Datos!R17),Datos!R17," - ")</f>
        <v>7</v>
      </c>
    </row>
    <row r="18" spans="1:4" ht="14.25" thickTop="1" thickBot="1">
      <c r="A18" s="848" t="str">
        <f>Datos!A18</f>
        <v>TOTAL</v>
      </c>
      <c r="B18" s="849">
        <f>SUBTOTAL(9,B15:B17)</f>
        <v>255</v>
      </c>
      <c r="C18" s="853">
        <f>SUBTOTAL(9,C15:C17)</f>
        <v>252</v>
      </c>
      <c r="D18" s="851">
        <f>SUBTOTAL(9,D15:D17)</f>
        <v>333</v>
      </c>
    </row>
    <row r="19" spans="1:4" ht="16.5" customHeight="1" thickTop="1" thickBot="1">
      <c r="A19" s="793" t="str">
        <f>Datos!A19</f>
        <v>TOTAL JURISDICCIONES</v>
      </c>
      <c r="B19" s="798">
        <f>SUBTOTAL(9,B8:B18)</f>
        <v>1703</v>
      </c>
      <c r="C19" s="799">
        <f>SUBTOTAL(9,C8:C18)</f>
        <v>1564</v>
      </c>
      <c r="D19" s="800">
        <f>SUBTOTAL(9,D8:D18)</f>
        <v>8141</v>
      </c>
    </row>
    <row r="20" spans="1:4" ht="7.5" customHeight="1"/>
    <row r="21" spans="1:4" ht="6" customHeight="1"/>
    <row r="22" spans="1:4">
      <c r="A22" s="391" t="str">
        <f>Criterios!A4</f>
        <v>Fecha Informe: 28 feb. 2025</v>
      </c>
    </row>
    <row r="27" spans="1:4">
      <c r="A27" s="414"/>
    </row>
  </sheetData>
  <sheetProtection algorithmName="SHA-512" hashValue="dwH0bVpvtqUmn/ng4pcXwfPq17SMTH9w5ohd8lI1qNxyKKqjO6VDfyz99j63rUGiWeNDxIedO8ddYbKX5AsL6A==" saltValue="l34fdeQOKNbFugKMV7p6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COLLADO VILLALBA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-4.5454545454545456E-2</v>
      </c>
      <c r="C10" s="456">
        <f>IF(ISNUMBER((Datos!J10-Datos!T10)/Datos!T10),(Datos!J10-Datos!T10)/Datos!T10," - ")</f>
        <v>8.1967213114754103E-3</v>
      </c>
      <c r="D10" s="456">
        <f>IF(ISNUMBER((Datos!K10-Datos!U10)/Datos!U10),(Datos!K10-Datos!U10)/Datos!U10," - ")</f>
        <v>4.8387096774193547E-2</v>
      </c>
      <c r="E10" s="456">
        <f>IF(ISNUMBER((Datos!L10-Datos!V10)/Datos!V10),(Datos!L10-Datos!V10)/Datos!V10," - ")</f>
        <v>-0.16666666666666666</v>
      </c>
      <c r="F10" s="456">
        <f>IF(ISNUMBER((Datos!M10-Datos!W10)/Datos!W10),(Datos!M10-Datos!W10)/Datos!W10," - ")</f>
        <v>0.1</v>
      </c>
      <c r="G10" s="457">
        <f>IF(ISNUMBER((Datos!N10-Datos!X10)/Datos!X10),(Datos!N10-Datos!X10)/Datos!X10," - ")</f>
        <v>-0.1951219512195122</v>
      </c>
      <c r="H10" s="455">
        <f>IF(ISNUMBER(((NºAsuntos!G10/NºAsuntos!E10)-Datos!BD10)/Datos!BD10),((NºAsuntos!G10/NºAsuntos!E10)-Datos!BD10)/Datos!BD10," - ")</f>
        <v>3.9863624442695998E-2</v>
      </c>
      <c r="I10" s="456">
        <f>IF(ISNUMBER(((NºAsuntos!I10/NºAsuntos!G10)-Datos!BE10)/Datos!BE10),((NºAsuntos!I10/NºAsuntos!G10)-Datos!BE10)/Datos!BE10," - ")</f>
        <v>-0.20512820512820512</v>
      </c>
      <c r="J10" s="461">
        <f>IF(ISNUMBER((('Resol  Asuntos'!D10/NºAsuntos!G10)-Datos!BF10)/Datos!BF10),(('Resol  Asuntos'!D10/NºAsuntos!G10)-Datos!BF10)/Datos!BF10," - ")</f>
        <v>4.9230769230769141E-2</v>
      </c>
      <c r="K10" s="462">
        <f>IF(ISNUMBER((((NºAsuntos!C10+NºAsuntos!E10)/NºAsuntos!G10)-Datos!BG10)/Datos!BG10),(((NºAsuntos!C10+NºAsuntos!E10)/NºAsuntos!G10)-Datos!BG10)/Datos!BG10," - ")</f>
        <v>-5.1899907321594066E-2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0.42197802197802198</v>
      </c>
      <c r="C12" s="456">
        <f>IF(ISNUMBER(
   IF(J_V="SI",(Datos!J12-Datos!T12)/Datos!T12,(Datos!J12+Datos!Z12-(Datos!T12+Datos!AH12))/(Datos!T12+Datos!AH12))
     ),IF(J_V="SI",(Datos!J12-Datos!T12)/Datos!T12,(Datos!J12+Datos!Z12-(Datos!T12+Datos!AH12))/(Datos!T12+Datos!AH12))," - ")</f>
        <v>0.18231540565177756</v>
      </c>
      <c r="D12" s="456">
        <f>IF(ISNUMBER(
   IF(J_V="SI",(Datos!K12-Datos!U12)/Datos!U12,(Datos!K12+Datos!AA12-(Datos!U12+Datos!AI12))/(Datos!U12+Datos!AI12))
     ),IF(J_V="SI",(Datos!K12-Datos!U12)/Datos!U12,(Datos!K12+Datos!AA12-(Datos!U12+Datos!AI12))/(Datos!U12+Datos!AI12))," - ")</f>
        <v>0.27904527904527904</v>
      </c>
      <c r="E12" s="456">
        <f>IF(ISNUMBER(
   IF(J_V="SI",(Datos!L12-Datos!V12)/Datos!V12,(Datos!L12+Datos!AB12-(Datos!V12+Datos!AJ12))/(Datos!V12+Datos!AJ12))
     ),IF(J_V="SI",(Datos!L12-Datos!V12)/Datos!V12,(Datos!L12+Datos!AB12-(Datos!V12+Datos!AJ12))/(Datos!V12+Datos!AJ12))," - ")</f>
        <v>0.14868624420401855</v>
      </c>
      <c r="F12" s="456">
        <f>IF(ISNUMBER((Datos!M12-Datos!W12)/Datos!W12),(Datos!M12-Datos!W12)/Datos!W12," - ")</f>
        <v>0.26108786610878659</v>
      </c>
      <c r="G12" s="457">
        <f>IF(ISNUMBER((Datos!N12-Datos!X12)/Datos!X12),(Datos!N12-Datos!X12)/Datos!X12," - ")</f>
        <v>0.38778513612950699</v>
      </c>
      <c r="H12" s="455">
        <f>IF(ISNUMBER(((NºAsuntos!G12/NºAsuntos!E12)-Datos!BD12)/Datos!BD12),((NºAsuntos!G12/NºAsuntos!E12)-Datos!BD12)/Datos!BD12," - ")</f>
        <v>8.1813933008998543E-2</v>
      </c>
      <c r="I12" s="456">
        <f>IF(ISNUMBER(((NºAsuntos!I12/NºAsuntos!G12)-Datos!BE12)/Datos!BE12),((NºAsuntos!I12/NºAsuntos!G12)-Datos!BE12)/Datos!BE12," - ")</f>
        <v>-0.10191901489098547</v>
      </c>
      <c r="J12" s="461">
        <f>IF(ISNUMBER((('Resol  Asuntos'!D12/NºAsuntos!G12)-Datos!BF12)/Datos!BF12),(('Resol  Asuntos'!D12/NºAsuntos!G12)-Datos!BF12)/Datos!BF12," - ")</f>
        <v>-0.78325560014183604</v>
      </c>
      <c r="K12" s="462">
        <f>IF(ISNUMBER((((NºAsuntos!C12+NºAsuntos!E12)/NºAsuntos!G12)-Datos!BG12)/Datos!BG12),(((NºAsuntos!C12+NºAsuntos!E12)/NºAsuntos!G12)-Datos!BG12)/Datos!BG12," - ")</f>
        <v>-1.6515367994147018E-2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0.4175010883761428</v>
      </c>
      <c r="C13" s="855">
        <f>IF(ISNUMBER(
   IF(J_V="SI",(Datos!J13-Datos!T13)/Datos!T13,(Datos!J13+Datos!Z13-(Datos!T13+Datos!AH13))/(Datos!T13+Datos!AH13))
     ),IF(J_V="SI",(Datos!J13-Datos!T13)/Datos!T13,(Datos!J13+Datos!Z13-(Datos!T13+Datos!AH13))/(Datos!T13+Datos!AH13))," - ")</f>
        <v>0.18019009504752376</v>
      </c>
      <c r="D13" s="855">
        <f>IF(ISNUMBER(
   IF(J_V="SI",(Datos!K13-Datos!U13)/Datos!U13,(Datos!K13+Datos!AA13-(Datos!U13+Datos!AI13))/(Datos!U13+Datos!AI13))
     ),IF(J_V="SI",(Datos!K13-Datos!U13)/Datos!U13,(Datos!K13+Datos!AA13-(Datos!U13+Datos!AI13))/(Datos!U13+Datos!AI13))," - ")</f>
        <v>0.2757467420136086</v>
      </c>
      <c r="E13" s="855">
        <f>IF(ISNUMBER(
   IF(J_V="SI",(Datos!L13-Datos!V13)/Datos!V13,(Datos!L13+Datos!AB13-(Datos!V13+Datos!AJ13))/(Datos!V13+Datos!AJ13))
     ),IF(J_V="SI",(Datos!L13-Datos!V13)/Datos!V13,(Datos!L13+Datos!AB13-(Datos!V13+Datos!AJ13))/(Datos!V13+Datos!AJ13))," - ")</f>
        <v>0.14665233415233414</v>
      </c>
      <c r="F13" s="856">
        <f>IF(ISNUMBER((Datos!M13-Datos!W13)/Datos!W13),(Datos!M13-Datos!W13)/Datos!W13," - ")</f>
        <v>0.25714285714285712</v>
      </c>
      <c r="G13" s="857">
        <f>IF(ISNUMBER((Datos!N13-Datos!X13)/Datos!X13),(Datos!N13-Datos!X13)/Datos!X13," - ")</f>
        <v>0.37912287060529176</v>
      </c>
      <c r="H13" s="857">
        <f>IF(ISNUMBER(((NºAsuntos!G13/NºAsuntos!E13)-Datos!BD13)/Datos!BD13),((NºAsuntos!G13/NºAsuntos!E13)-Datos!BD13)/Datos!BD13," - ")</f>
        <v>8.0967165685488063E-2</v>
      </c>
      <c r="I13" s="857">
        <f>IF(ISNUMBER(((NºAsuntos!I13/NºAsuntos!G13)-Datos!BE13)/Datos!BE13),((NºAsuntos!I13/NºAsuntos!G13)-Datos!BE13)/Datos!BE13," - ")</f>
        <v>-0.10119125027708463</v>
      </c>
      <c r="J13" s="857">
        <f>IF(ISNUMBER((('Resol  Asuntos'!D13/NºAsuntos!G13)-Datos!BF13)/Datos!BF13),(('Resol  Asuntos'!D13/NºAsuntos!G13)-Datos!BF13)/Datos!BF13," - ")</f>
        <v>-0.77915548083671426</v>
      </c>
      <c r="K13" s="857">
        <f>IF(ISNUMBER((((NºAsuntos!C13+NºAsuntos!E13)/NºAsuntos!G13)-Datos!BG13)/Datos!BG13),(((NºAsuntos!C13+NºAsuntos!E13)/NºAsuntos!G13)-Datos!BG13)/Datos!BG13," - ")</f>
        <v>-1.6326636280168345E-2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0.3724907063197026</v>
      </c>
      <c r="C16" s="456">
        <f>IF(ISNUMBER(
   IF(D_I="SI",(Datos!J16-Datos!T16)/Datos!T16,(Datos!J16+Datos!AD16-(Datos!T16+Datos!AL16))/(Datos!T16+Datos!AL16))
     ),IF(D_I="SI",(Datos!J16-Datos!T16)/Datos!T16,(Datos!J16+Datos!AD16-(Datos!T16+Datos!AL16))/(Datos!T16+Datos!AL16))," - ")</f>
        <v>-8.1110805609018427E-2</v>
      </c>
      <c r="D16" s="456">
        <f>IF(ISNUMBER(
   IF(D_I="SI",(Datos!K16-Datos!U16)/Datos!U16,(Datos!K16+Datos!AE16-(Datos!U16+Datos!AM16))/(Datos!U16+Datos!AM16))
     ),IF(D_I="SI",(Datos!K16-Datos!U16)/Datos!U16,(Datos!K16+Datos!AE16-(Datos!U16+Datos!AM16))/(Datos!U16+Datos!AM16))," - ")</f>
        <v>-1.2826055627612049E-2</v>
      </c>
      <c r="E16" s="456">
        <f>IF(ISNUMBER(
   IF(D_I="SI",(Datos!L16-Datos!V16)/Datos!V16,(Datos!L16+Datos!AF16-(Datos!V16+Datos!AN16))/(Datos!V16+Datos!AN16))
     ),IF(D_I="SI",(Datos!L16-Datos!V16)/Datos!V16,(Datos!L16+Datos!AF16-(Datos!V16+Datos!AN16))/(Datos!V16+Datos!AN16))," - ")</f>
        <v>-5.3629469122426866E-2</v>
      </c>
      <c r="F16" s="456">
        <f>IF(ISNUMBER((Datos!M16-Datos!W16)/Datos!W16),(Datos!M16-Datos!W16)/Datos!W16," - ")</f>
        <v>-5.5485498108448932E-2</v>
      </c>
      <c r="G16" s="457">
        <f>IF(ISNUMBER((Datos!N16-Datos!X16)/Datos!X16),(Datos!N16-Datos!X16)/Datos!X16," - ")</f>
        <v>1.177301624676242E-2</v>
      </c>
      <c r="H16" s="455">
        <f>IF(ISNUMBER(((NºAsuntos!G16/NºAsuntos!E16)-Datos!BD16)/Datos!BD16),((NºAsuntos!G16/NºAsuntos!E16)-Datos!BD16)/Datos!BD16," - ")</f>
        <v>7.4312278779884819E-2</v>
      </c>
      <c r="I16" s="456">
        <f>IF(ISNUMBER(((NºAsuntos!I16/NºAsuntos!G16)-Datos!BE16)/Datos!BE16),((NºAsuntos!I16/NºAsuntos!G16)-Datos!BE16)/Datos!BE16," - ")</f>
        <v>-4.1333560035112356E-2</v>
      </c>
      <c r="J16" s="461">
        <f>IF(ISNUMBER((('Resol  Asuntos'!D16/NºAsuntos!G16)-Datos!BF16)/Datos!BF16),(('Resol  Asuntos'!D16/NºAsuntos!G16)-Datos!BF16)/Datos!BF16," - ")</f>
        <v>-4.3213703850295923E-2</v>
      </c>
      <c r="K16" s="462">
        <f>IF(ISNUMBER((((NºAsuntos!C16+NºAsuntos!E16)/NºAsuntos!G16)-Datos!BG16)/Datos!BG16),(((NºAsuntos!C16+NºAsuntos!E16)/NºAsuntos!G16)-Datos!BG16)/Datos!BG16," - ")</f>
        <v>2.5325138909708276E-3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-0.36708860759493672</v>
      </c>
      <c r="C17" s="456">
        <f>IF(ISNUMBER(
   IF(D_I="SI",(Datos!J17-Datos!T17)/Datos!T17,(Datos!J17+Datos!AD17-(Datos!T17+Datos!AL17))/(Datos!T17+Datos!AL17))
     ),IF(D_I="SI",(Datos!J17-Datos!T17)/Datos!T17,(Datos!J17+Datos!AD17-(Datos!T17+Datos!AL17))/(Datos!T17+Datos!AL17))," - ")</f>
        <v>-5.4397098821396192E-3</v>
      </c>
      <c r="D17" s="456">
        <f>IF(ISNUMBER(
   IF(D_I="SI",(Datos!K17-Datos!U17)/Datos!U17,(Datos!K17+Datos!AE17-(Datos!U17+Datos!AM17))/(Datos!U17+Datos!AM17))
     ),IF(D_I="SI",(Datos!K17-Datos!U17)/Datos!U17,(Datos!K17+Datos!AE17-(Datos!U17+Datos!AM17))/(Datos!U17+Datos!AM17))," - ")</f>
        <v>-5.7420494699646642E-2</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0.08</v>
      </c>
      <c r="G17" s="457">
        <f>IF(ISNUMBER((Datos!N17-Datos!X17)/Datos!X17),(Datos!N17-Datos!X17)/Datos!X17," - ")</f>
        <v>-0.29315960912052119</v>
      </c>
      <c r="H17" s="455">
        <f>IF(ISNUMBER(((NºAsuntos!G17/NºAsuntos!E17)-Datos!BD17)/Datos!BD17),((NºAsuntos!G17/NºAsuntos!E17)-Datos!BD17)/Datos!BD17," - ")</f>
        <v>-5.2265091753610146E-2</v>
      </c>
      <c r="I17" s="456">
        <f>IF(ISNUMBER(((NºAsuntos!I17/NºAsuntos!G17)-Datos!BE17)/Datos!BE17),((NºAsuntos!I17/NºAsuntos!G17)-Datos!BE17)/Datos!BE17," - ")</f>
        <v>0.69746954076850964</v>
      </c>
      <c r="J17" s="461">
        <f>IF(ISNUMBER((('Resol  Asuntos'!D17/NºAsuntos!G17)-Datos!BF17)/Datos!BF17),(('Resol  Asuntos'!D17/NºAsuntos!G17)-Datos!BF17)/Datos!BF17," - ")</f>
        <v>0.14579194001874413</v>
      </c>
      <c r="K17" s="462">
        <f>IF(ISNUMBER((((NºAsuntos!C17+NºAsuntos!E17)/NºAsuntos!G17)-Datos!BG17)/Datos!BG17),(((NºAsuntos!C17+NºAsuntos!E17)/NºAsuntos!G17)-Datos!BG17)/Datos!BG17," - ")</f>
        <v>2.9503787680562967E-2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0.33146067415730335</v>
      </c>
      <c r="C18" s="855">
        <f>IF(ISNUMBER(
   IF(Criterios!B14="SI",(Datos!J18-Datos!T18)/Datos!T18,(Datos!J18+Datos!AD18-(Datos!T18+Datos!AL18))/(Datos!T18+Datos!AL18))
     ),IF(Criterios!B14="SI",(Datos!J18-Datos!T18)/Datos!T18,(Datos!J18+Datos!AD18-(Datos!T18+Datos!AL18))/(Datos!T18+Datos!AL18))," - ")</f>
        <v>-7.1147188731049305E-2</v>
      </c>
      <c r="D18" s="855">
        <f>IF(ISNUMBER(
   IF(Criterios!B14="SI",(Datos!K18-Datos!U18)/Datos!U18,(Datos!K18+Datos!AE18-(Datos!U18+Datos!AM18))/(Datos!U18+Datos!AM18))
     ),IF(Criterios!B14="SI",(Datos!K18-Datos!U18)/Datos!U18,(Datos!K18+Datos!AE18-(Datos!U18+Datos!AM18))/(Datos!U18+Datos!AM18))," - ")</f>
        <v>-1.9080659150043366E-2</v>
      </c>
      <c r="E18" s="855">
        <f>IF(ISNUMBER(
   IF(Criterios!B14="SI",(Datos!L18-Datos!V18)/Datos!V18,(Datos!L18+Datos!AF18-(Datos!V18+Datos!AN18))/(Datos!V18+Datos!AN18))
     ),IF(Criterios!B14="SI",(Datos!L18-Datos!V18)/Datos!V18,(Datos!L18+Datos!AF18-(Datos!V18+Datos!AN18))/(Datos!V18+Datos!AN18))," - ")</f>
        <v>-3.6392405063291139E-2</v>
      </c>
      <c r="F18" s="856">
        <f>IF(ISNUMBER((Datos!M18-Datos!W18)/Datos!W18),(Datos!M18-Datos!W18)/Datos!W18," - ")</f>
        <v>-3.7037037037037035E-2</v>
      </c>
      <c r="G18" s="857">
        <f>IF(ISNUMBER((Datos!N18-Datos!X18)/Datos!X18),(Datos!N18-Datos!X18)/Datos!X18," - ")</f>
        <v>-2.6743468422135364E-2</v>
      </c>
      <c r="H18" s="857">
        <f>IF(ISNUMBER(((NºAsuntos!G18/NºAsuntos!E18)-Datos!BD18)/Datos!BD18),((NºAsuntos!G18/NºAsuntos!E18)-Datos!BD18)/Datos!BD18," - ")</f>
        <v>5.6054661136111898E-2</v>
      </c>
      <c r="I18" s="857">
        <f>IF(ISNUMBER(((NºAsuntos!I18/NºAsuntos!G18)-Datos!BE18)/Datos!BE18),((NºAsuntos!I18/NºAsuntos!G18)-Datos!BE18)/Datos!BE18," - ")</f>
        <v>-1.7648490749756499E-2</v>
      </c>
      <c r="J18" s="857">
        <f>IF(ISNUMBER((('Resol  Asuntos'!D18/NºAsuntos!G18)-Datos!BF18)/Datos!BF18),(('Resol  Asuntos'!D18/NºAsuntos!G18)-Datos!BF18)/Datos!BF18," - ")</f>
        <v>-1.830566198382285E-2</v>
      </c>
      <c r="K18" s="857">
        <f>IF(ISNUMBER((((NºAsuntos!C18+NºAsuntos!E18)/NºAsuntos!G18)-Datos!BG18)/Datos!BG18),(((NºAsuntos!C18+NºAsuntos!E18)/NºAsuntos!G18)-Datos!BG18)/Datos!BG18," - ")</f>
        <v>6.5539424647747526E-3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0.39714190761050183</v>
      </c>
      <c r="C19" s="802">
        <f>IF(ISNUMBER(
   IF(J_V="SI",(Datos!J19-Datos!T19)/Datos!T19,(Datos!J19+Datos!Z19-(Datos!T19+Datos!AH19))/(Datos!T19+Datos!AH19))
     ),IF(J_V="SI",(Datos!J19-Datos!T19)/Datos!T19,(Datos!J19+Datos!Z19-(Datos!T19+Datos!AH19))/(Datos!T19+Datos!AH19))," - ")</f>
        <v>6.5588939690833875E-2</v>
      </c>
      <c r="D19" s="802">
        <f>IF(ISNUMBER(
   IF(J_V="SI",(Datos!K19-Datos!U19)/Datos!U19,(Datos!K19+Datos!AA19-(Datos!U19+Datos!AI19))/(Datos!U19+Datos!AI19))
     ),IF(J_V="SI",(Datos!K19-Datos!U19)/Datos!U19,(Datos!K19+Datos!AA19-(Datos!U19+Datos!AI19))/(Datos!U19+Datos!AI19))," - ")</f>
        <v>0.13361605542945884</v>
      </c>
      <c r="E19" s="802">
        <f>IF(ISNUMBER(
   IF(J_V="SI",(Datos!L19-Datos!V19)/Datos!V19,(Datos!L19+Datos!AB19-(Datos!V19+Datos!AJ19))/(Datos!V19+Datos!AJ19))
     ),IF(J_V="SI",(Datos!L19-Datos!V19)/Datos!V19,(Datos!L19+Datos!AB19-(Datos!V19+Datos!AJ19))/(Datos!V19+Datos!AJ19))," - ")</f>
        <v>0.10537583254043768</v>
      </c>
      <c r="F19" s="803">
        <f>IF(ISNUMBER((Datos!M19-Datos!W19)/Datos!W19),(Datos!M19-Datos!W19)/Datos!W19," - ")</f>
        <v>0.13112459169388707</v>
      </c>
      <c r="G19" s="804">
        <f>IF(ISNUMBER((Datos!N19-Datos!X19)/Datos!X19),(Datos!N19-Datos!X19)/Datos!X19," - ")</f>
        <v>0.18903555255804991</v>
      </c>
      <c r="H19" s="805">
        <f>IF(ISNUMBER((Tasas!B19-Datos!BD19)/Datos!BD19),(Tasas!B19-Datos!BD19)/Datos!BD19," - ")</f>
        <v>6.3839922886551409E-2</v>
      </c>
      <c r="I19" s="806">
        <f>IF(ISNUMBER((Tasas!C19-Datos!BE19)/Datos!BE19),(Tasas!C19-Datos!BE19)/Datos!BE19," - ")</f>
        <v>-2.4911629253806532E-2</v>
      </c>
      <c r="J19" s="807">
        <f>IF(ISNUMBER((Tasas!D19-Datos!BF19)/Datos!BF19),(Tasas!D19-Datos!BF19)/Datos!BF19," - ")</f>
        <v>-0.66505480731176159</v>
      </c>
      <c r="K19" s="807">
        <f>IF(ISNUMBER((Tasas!E19-Datos!BG19)/Datos!BG19),(Tasas!E19-Datos!BG19)/Datos!BG19," - ")</f>
        <v>1.2156160341307332E-2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h5EHWbouMhEuJjxEdG3mWHII5zrfJ5n1k++7wXK9PpMCIRyapn9cGCKOF27HtBnO6+H8OOsjnkHsqybh61uLA==" saltValue="eHbqIvN4y9EPhOkZar0B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COLLADO VILLALBA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1.056910569105691</v>
      </c>
      <c r="C10" s="443">
        <f>IF(ISNUMBER(NºAsuntos!I10/NºAsuntos!G10),NºAsuntos!I10/NºAsuntos!G10," - ")</f>
        <v>0.26923076923076922</v>
      </c>
      <c r="D10" s="444">
        <f>IF(ISNUMBER('Resol  Asuntos'!D10/NºAsuntos!G10),'Resol  Asuntos'!D10/NºAsuntos!G10," - ")</f>
        <v>0.25384615384615383</v>
      </c>
      <c r="E10" s="445">
        <f>IF(ISNUMBER((NºAsuntos!C10+NºAsuntos!E10)/NºAsuntos!G10),(NºAsuntos!C10+NºAsuntos!E10)/NºAsuntos!G10," - ")</f>
        <v>1.2692307692307692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0.9365201747622719</v>
      </c>
      <c r="C12" s="443">
        <f>IF(ISNUMBER(NºAsuntos!I12/NºAsuntos!G12),NºAsuntos!I12/NºAsuntos!G12," - ")</f>
        <v>0.67983900475667769</v>
      </c>
      <c r="D12" s="444">
        <f>IF(ISNUMBER('Resol  Asuntos'!D12/NºAsuntos!G12),'Resol  Asuntos'!D12/NºAsuntos!G12," - ")</f>
        <v>0.13785217709476766</v>
      </c>
      <c r="E12" s="445">
        <f>IF(ISNUMBER((NºAsuntos!C12+NºAsuntos!E12)/NºAsuntos!G12),(NºAsuntos!C12+NºAsuntos!E12)/NºAsuntos!G12," - ")</f>
        <v>1.6596231247713136</v>
      </c>
      <c r="G12" s="463"/>
    </row>
    <row r="13" spans="1:7" ht="14.25" thickTop="1" thickBot="1">
      <c r="A13" s="848" t="str">
        <f>Datos!A13</f>
        <v>TOTAL</v>
      </c>
      <c r="B13" s="858">
        <f>IF(ISNUMBER(NºAsuntos!G13/NºAsuntos!E13),NºAsuntos!G13/NºAsuntos!E13," - ")</f>
        <v>0.93777551712444895</v>
      </c>
      <c r="C13" s="859">
        <f>IF(ISNUMBER(NºAsuntos!I13/NºAsuntos!G13),NºAsuntos!I13/NºAsuntos!G13," - ")</f>
        <v>0.6750135599349123</v>
      </c>
      <c r="D13" s="860">
        <f>IF(ISNUMBER('Resol  Asuntos'!D13/NºAsuntos!G13),'Resol  Asuntos'!D13/NºAsuntos!G13," - ")</f>
        <v>0.13921533176640752</v>
      </c>
      <c r="E13" s="861">
        <f>IF(ISNUMBER((NºAsuntos!C13+NºAsuntos!E13)/NºAsuntos!G13),(NºAsuntos!C13+NºAsuntos!E13)/NºAsuntos!G13," - ")</f>
        <v>1.6550352558307719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1.0248354278874925</v>
      </c>
      <c r="C16" s="443">
        <f>IF(ISNUMBER(NºAsuntos!I16/NºAsuntos!G16),NºAsuntos!I16/NºAsuntos!G16," - ")</f>
        <v>0.25503649635036496</v>
      </c>
      <c r="D16" s="444">
        <f>IF(ISNUMBER('Resol  Asuntos'!D16/NºAsuntos!G16),'Resol  Asuntos'!D16/NºAsuntos!G16," - ")</f>
        <v>0.10934306569343066</v>
      </c>
      <c r="E16" s="445">
        <f>IF(ISNUMBER((NºAsuntos!C16+NºAsuntos!E16)/NºAsuntos!G16),(NºAsuntos!C16+NºAsuntos!E16)/NºAsuntos!G16," - ")</f>
        <v>1.2452554744525548</v>
      </c>
      <c r="G16" s="463"/>
    </row>
    <row r="17" spans="1:7" ht="13.5" thickBot="1">
      <c r="A17" s="402" t="str">
        <f>Datos!A17</f>
        <v>Jdos. Violencia contra la mujer</v>
      </c>
      <c r="B17" s="442">
        <f>IF(ISNUMBER(NºAsuntos!G17/NºAsuntos!E17),NºAsuntos!G17/NºAsuntos!E17," - ")</f>
        <v>0.97265268915223335</v>
      </c>
      <c r="C17" s="443">
        <f>IF(ISNUMBER(NºAsuntos!I17/NºAsuntos!G17),NºAsuntos!I17/NºAsuntos!G17," - ")</f>
        <v>7.4976569821930641E-2</v>
      </c>
      <c r="D17" s="444">
        <f>IF(ISNUMBER('Resol  Asuntos'!D17/NºAsuntos!G17),'Resol  Asuntos'!D17/NºAsuntos!G17," - ")</f>
        <v>0.12652296157450796</v>
      </c>
      <c r="E17" s="445">
        <f>IF(ISNUMBER((NºAsuntos!C17+NºAsuntos!E17)/NºAsuntos!G17),(NºAsuntos!C17+NºAsuntos!E17)/NºAsuntos!G17," - ")</f>
        <v>1.0749765698219307</v>
      </c>
      <c r="G17" s="463"/>
    </row>
    <row r="18" spans="1:7" ht="14.25" thickTop="1" thickBot="1">
      <c r="A18" s="848" t="str">
        <f>Datos!A18</f>
        <v>TOTAL</v>
      </c>
      <c r="B18" s="858">
        <f>IF(ISNUMBER(NºAsuntos!G18/NºAsuntos!E18),NºAsuntos!G18/NºAsuntos!E18," - ")</f>
        <v>1.0174784732039583</v>
      </c>
      <c r="C18" s="859">
        <f>IF(ISNUMBER(NºAsuntos!I18/NºAsuntos!G18),NºAsuntos!I18/NºAsuntos!G18," - ")</f>
        <v>0.23076923076923078</v>
      </c>
      <c r="D18" s="862">
        <f>IF(ISNUMBER('Resol  Asuntos'!D18/NºAsuntos!G18),'Resol  Asuntos'!D18/NºAsuntos!G18," - ")</f>
        <v>0.1116584564860427</v>
      </c>
      <c r="E18" s="861">
        <f>IF(ISNUMBER((NºAsuntos!C18+NºAsuntos!E18)/NºAsuntos!G18),(NºAsuntos!C18+NºAsuntos!E18)/NºAsuntos!G18," - ")</f>
        <v>1.2223064292029808</v>
      </c>
      <c r="G18" s="463"/>
    </row>
    <row r="19" spans="1:7" ht="15.75" customHeight="1" thickTop="1" thickBot="1">
      <c r="A19" s="793" t="str">
        <f>Datos!A19</f>
        <v>TOTAL JURISDICCIONES</v>
      </c>
      <c r="B19" s="808">
        <f>IF(ISNUMBER(NºAsuntos!G19/NºAsuntos!E19),NºAsuntos!G19/NºAsuntos!E19," - ")</f>
        <v>0.9694539510650253</v>
      </c>
      <c r="C19" s="809">
        <f>IF(ISNUMBER(NºAsuntos!I19/NºAsuntos!G19),NºAsuntos!I19/NºAsuntos!G19," - ")</f>
        <v>0.48969914115601454</v>
      </c>
      <c r="D19" s="810">
        <f>IF(ISNUMBER('Resol  Asuntos'!D19/NºAsuntos!G19),'Resol  Asuntos'!D19/NºAsuntos!G19," - ")</f>
        <v>0.12772011170240793</v>
      </c>
      <c r="E19" s="811">
        <f>IF(ISNUMBER((NºAsuntos!C19+NºAsuntos!E19)/NºAsuntos!G19),(NºAsuntos!C19+NºAsuntos!E19)/NºAsuntos!G19," - ")</f>
        <v>1.4745244744190948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6tCiWfZtD8CyNrI9exLeFStkvhNfNzPwfWcZhA3H51IGSJMTAVIzNyxdlmBPi3TzwQrbJ1+MdGgWEN9kRM6DQ==" saltValue="vF7NaUHsFNYN6RM8u9uZ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COLLADO VILLALBA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130</v>
      </c>
      <c r="X10" s="226">
        <f>IF(ISNUMBER(Datos!Q10),Datos!Q10," - ")</f>
        <v>10</v>
      </c>
      <c r="Y10" s="334">
        <f t="shared" ref="Y10:Y12" si="0">SUM(W10:X10)</f>
        <v>140</v>
      </c>
      <c r="Z10" s="335" t="str">
        <f>IF(ISNUMBER(Datos!CC10),Datos!CC10," - ")</f>
        <v xml:space="preserve"> - </v>
      </c>
      <c r="AA10" s="332">
        <f>IF(ISNUMBER(Datos!L10),Datos!L10,"-")</f>
        <v>35</v>
      </c>
      <c r="AB10" s="334">
        <f>IF(ISNUMBER(Datos!R10),Datos!R10," - ")</f>
        <v>55</v>
      </c>
      <c r="AC10" s="334">
        <f t="shared" ref="AC10:AC12" si="1">IF(ISNUMBER(AA10+AB10),AA10+AB10," - ")</f>
        <v>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33</v>
      </c>
      <c r="AJ10" s="231" t="str">
        <f>IF(ISNUMBER(Datos!BW10),Datos!BW10," - ")</f>
        <v xml:space="preserve"> - </v>
      </c>
      <c r="AK10" s="232" t="str">
        <f>IF(ISNUMBER(Datos!BX10),Datos!BX10," - ")</f>
        <v xml:space="preserve"> - </v>
      </c>
      <c r="AL10" s="243">
        <f>IF(ISNUMBER(NºAsuntos!G10/NºAsuntos!E10),NºAsuntos!G10/NºAsuntos!E10," - ")</f>
        <v>1.056910569105691</v>
      </c>
      <c r="AM10" s="260">
        <f>IF(ISNUMBER(((NºAsuntos!I10/NºAsuntos!G10)*11)/factor_trimestre),((NºAsuntos!I10/NºAsuntos!G10)*11)/factor_trimestre," - ")</f>
        <v>2.9615384615384612</v>
      </c>
      <c r="AN10" s="244">
        <f>IF(ISNUMBER('Resol  Asuntos'!D10/NºAsuntos!G10),'Resol  Asuntos'!D10/NºAsuntos!G10," - ")</f>
        <v>0.25384615384615383</v>
      </c>
      <c r="AO10" s="245">
        <f>IF(ISNUMBER((NºAsuntos!C10+NºAsuntos!E10)/NºAsuntos!G10),(NºAsuntos!C10+NºAsuntos!E10)/NºAsuntos!G10," - ")</f>
        <v>1.2692307692307692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1302</v>
      </c>
      <c r="Y12" s="334">
        <f t="shared" si="0"/>
        <v>1302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7753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1507</v>
      </c>
      <c r="AJ12" s="229" t="str">
        <f>IF(ISNUMBER(Datos!BW12),Datos!BW12," - ")</f>
        <v xml:space="preserve"> - </v>
      </c>
      <c r="AK12" s="228" t="str">
        <f>IF(ISNUMBER(Datos!BX12),Datos!BX12," - ")</f>
        <v xml:space="preserve"> - </v>
      </c>
      <c r="AL12" s="243">
        <f>IF(ISNUMBER(NºAsuntos!G12/NºAsuntos!E12),NºAsuntos!G12/NºAsuntos!E12," - ")</f>
        <v>0.9365201747622719</v>
      </c>
      <c r="AM12" s="260">
        <f>IF(ISNUMBER(((NºAsuntos!I12/NºAsuntos!G12)*11)/factor_trimestre),((NºAsuntos!I12/NºAsuntos!G12)*11)/factor_trimestre," - ")</f>
        <v>7.4782290523234547</v>
      </c>
      <c r="AN12" s="244">
        <f>IF(ISNUMBER('Resol  Asuntos'!D12/NºAsuntos!G12),'Resol  Asuntos'!D12/NºAsuntos!G12," - ")</f>
        <v>0.13785217709476766</v>
      </c>
      <c r="AO12" s="245">
        <f>IF(ISNUMBER((NºAsuntos!C12+NºAsuntos!E12)/NºAsuntos!G12),(NºAsuntos!C12+NºAsuntos!E12)/NºAsuntos!G12," - ")</f>
        <v>1.6596231247713136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42</v>
      </c>
      <c r="G13" s="866">
        <f t="shared" si="3"/>
        <v>42</v>
      </c>
      <c r="H13" s="865">
        <f t="shared" si="3"/>
        <v>0</v>
      </c>
      <c r="I13" s="867">
        <f t="shared" si="3"/>
        <v>0</v>
      </c>
      <c r="J13" s="867">
        <f t="shared" si="3"/>
        <v>0</v>
      </c>
      <c r="K13" s="867">
        <f t="shared" si="3"/>
        <v>0</v>
      </c>
      <c r="L13" s="867">
        <f t="shared" si="3"/>
        <v>1448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130</v>
      </c>
      <c r="X13" s="867">
        <f t="shared" si="4"/>
        <v>1312</v>
      </c>
      <c r="Y13" s="868">
        <f t="shared" si="4"/>
        <v>1442</v>
      </c>
      <c r="Z13" s="868">
        <f t="shared" si="4"/>
        <v>0</v>
      </c>
      <c r="AA13" s="868">
        <f t="shared" si="4"/>
        <v>35</v>
      </c>
      <c r="AB13" s="868">
        <f t="shared" si="4"/>
        <v>7808</v>
      </c>
      <c r="AC13" s="868">
        <f t="shared" si="4"/>
        <v>90</v>
      </c>
      <c r="AD13" s="868">
        <f t="shared" si="4"/>
        <v>0</v>
      </c>
      <c r="AE13" s="872">
        <f t="shared" si="4"/>
        <v>0</v>
      </c>
      <c r="AF13" s="865">
        <f t="shared" si="4"/>
        <v>0</v>
      </c>
      <c r="AG13" s="873">
        <f t="shared" si="4"/>
        <v>0</v>
      </c>
      <c r="AH13" s="870">
        <f t="shared" si="4"/>
        <v>0</v>
      </c>
      <c r="AI13" s="865">
        <f t="shared" si="4"/>
        <v>1540</v>
      </c>
      <c r="AJ13" s="867">
        <f t="shared" si="4"/>
        <v>0</v>
      </c>
      <c r="AK13" s="870">
        <f>SUBTOTAL(9,AK9:AK12)</f>
        <v>0</v>
      </c>
      <c r="AL13" s="874">
        <f>IF(ISNUMBER(NºAsuntos!G13/NºAsuntos!E13),NºAsuntos!G13/NºAsuntos!E13," - ")</f>
        <v>0.93777551712444895</v>
      </c>
      <c r="AM13" s="874">
        <f>IF(ISNUMBER(((NºAsuntos!I13/NºAsuntos!G13)*11)/factor_trimestre),((NºAsuntos!I13/NºAsuntos!G13)*11)/factor_trimestre," - ")</f>
        <v>7.4251491592840351</v>
      </c>
      <c r="AN13" s="875">
        <f>IF(ISNUMBER('Resol  Asuntos'!D13/NºAsuntos!G13),'Resol  Asuntos'!D13/NºAsuntos!G13," - ")</f>
        <v>0.13921533176640752</v>
      </c>
      <c r="AO13" s="876">
        <f>IF(ISNUMBER((NºAsuntos!C13+NºAsuntos!E13)/NºAsuntos!G13),(NºAsuntos!C13+NºAsuntos!E13)/NºAsuntos!G13," - ")</f>
        <v>1.6550352558307719</v>
      </c>
      <c r="AP13" s="877" t="str">
        <f t="shared" si="2"/>
        <v xml:space="preserve"> - </v>
      </c>
      <c r="AQ13" s="877">
        <f>IF(ISNUMBER((H13-W13+K13)/(F13)),(H13-W13+K13)/(F13)," - ")</f>
        <v>-3.0952380952380953</v>
      </c>
      <c r="AR13" s="878">
        <f>IF(ISNUMBER((Datos!P13-Datos!Q13)/(Datos!R13-Datos!P13+Datos!Q13)),(Datos!P13-Datos!Q13)/(Datos!R13-Datos!P13+Datos!Q13)," - ")</f>
        <v>1.7726798748696558E-2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1913</v>
      </c>
      <c r="G16" s="333">
        <f>IF(ISNUMBER(IF(D_I="SI",Datos!I16,Datos!I16+Datos!AC16)),IF(D_I="SI",Datos!I16,Datos!I16+Datos!AC16)," - ")</f>
        <v>1846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6850</v>
      </c>
      <c r="X16" s="226">
        <f>IF(ISNUMBER(Datos!Q16),Datos!Q16," - ")</f>
        <v>227</v>
      </c>
      <c r="Y16" s="334">
        <f t="shared" ref="Y16:Y17" si="7">SUM(W16:X16)</f>
        <v>7077</v>
      </c>
      <c r="Z16" s="335" t="str">
        <f>IF(ISNUMBER(Datos!CC16),Datos!CC16," - ")</f>
        <v xml:space="preserve"> - </v>
      </c>
      <c r="AA16" s="332">
        <f>IF(ISNUMBER(IF(D_I="SI",Datos!L16,Datos!L16+Datos!AF16)),IF(D_I="SI",Datos!L16,Datos!L16+Datos!AF16)," - ")</f>
        <v>1747</v>
      </c>
      <c r="AB16" s="334">
        <f>IF(ISNUMBER(Datos!R16),Datos!R16," - ")</f>
        <v>326</v>
      </c>
      <c r="AC16" s="334">
        <f t="shared" si="6"/>
        <v>2073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749</v>
      </c>
      <c r="AJ16" s="231" t="str">
        <f>IF(ISNUMBER(Datos!BW16),Datos!BW16," - ")</f>
        <v xml:space="preserve"> - </v>
      </c>
      <c r="AK16" s="232" t="str">
        <f>IF(ISNUMBER(Datos!BX16),Datos!BX16," - ")</f>
        <v xml:space="preserve"> - </v>
      </c>
      <c r="AL16" s="243">
        <f>IF(ISNUMBER(NºAsuntos!G16/NºAsuntos!E16),NºAsuntos!G16/NºAsuntos!E16," - ")</f>
        <v>1.0248354278874925</v>
      </c>
      <c r="AM16" s="260">
        <f>IF(ISNUMBER(((NºAsuntos!I16/NºAsuntos!G16)*11)/factor_trimestre),((NºAsuntos!I16/NºAsuntos!G16)*11)/factor_trimestre," - ")</f>
        <v>2.8054014598540147</v>
      </c>
      <c r="AN16" s="244">
        <f>IF(ISNUMBER('Resol  Asuntos'!D16/NºAsuntos!G16),'Resol  Asuntos'!D16/NºAsuntos!G16," - ")</f>
        <v>0.10934306569343066</v>
      </c>
      <c r="AO16" s="245">
        <f>IF(ISNUMBER((NºAsuntos!C16+NºAsuntos!E16)/NºAsuntos!G16),(NºAsuntos!C16+NºAsuntos!E16)/NºAsuntos!G16," - ")</f>
        <v>1.2452554744525548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1067</v>
      </c>
      <c r="X17" s="226">
        <f>IF(ISNUMBER(Datos!Q17),Datos!Q17," - ")</f>
        <v>25</v>
      </c>
      <c r="Y17" s="334">
        <f t="shared" si="7"/>
        <v>1092</v>
      </c>
      <c r="Z17" s="335" t="str">
        <f>IF(ISNUMBER(Datos!CC17),Datos!CC17," - ")</f>
        <v xml:space="preserve"> - </v>
      </c>
      <c r="AA17" s="332">
        <f>IF(ISNUMBER(Datos!L17),Datos!L17,"-")</f>
        <v>80</v>
      </c>
      <c r="AB17" s="334">
        <f>IF(ISNUMBER(Datos!R17),Datos!R17," - ")</f>
        <v>7</v>
      </c>
      <c r="AC17" s="334">
        <f t="shared" si="6"/>
        <v>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135</v>
      </c>
      <c r="AJ17" s="231" t="str">
        <f>IF(ISNUMBER(Datos!BW17),Datos!BW17," - ")</f>
        <v xml:space="preserve"> - </v>
      </c>
      <c r="AK17" s="232" t="str">
        <f>IF(ISNUMBER(Datos!BX17),Datos!BX17," - ")</f>
        <v xml:space="preserve"> - </v>
      </c>
      <c r="AL17" s="243">
        <f>IF(ISNUMBER(NºAsuntos!G17/NºAsuntos!E17),NºAsuntos!G17/NºAsuntos!E17," - ")</f>
        <v>0.97265268915223335</v>
      </c>
      <c r="AM17" s="260">
        <f>IF(ISNUMBER(((NºAsuntos!I17/NºAsuntos!G17)*11)/factor_trimestre),((NºAsuntos!I17/NºAsuntos!G17)*11)/factor_trimestre," - ")</f>
        <v>0.82474226804123707</v>
      </c>
      <c r="AN17" s="244">
        <f>IF(ISNUMBER('Resol  Asuntos'!D17/NºAsuntos!G17),'Resol  Asuntos'!D17/NºAsuntos!G17," - ")</f>
        <v>0.12652296157450796</v>
      </c>
      <c r="AO17" s="245">
        <f>IF(ISNUMBER((NºAsuntos!C17+NºAsuntos!E17)/NºAsuntos!G17),(NºAsuntos!C17+NºAsuntos!E17)/NºAsuntos!G17," - ")</f>
        <v>1.0749765698219307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1913</v>
      </c>
      <c r="G18" s="866">
        <f>SUBTOTAL(9,G15:G17)</f>
        <v>1896</v>
      </c>
      <c r="H18" s="865">
        <f t="shared" ref="H18:O18" si="10">SUBTOTAL(9,H14:H17)</f>
        <v>0</v>
      </c>
      <c r="I18" s="867">
        <f t="shared" si="10"/>
        <v>0</v>
      </c>
      <c r="J18" s="867">
        <f t="shared" si="10"/>
        <v>0</v>
      </c>
      <c r="K18" s="867">
        <f t="shared" si="10"/>
        <v>0</v>
      </c>
      <c r="L18" s="867">
        <f t="shared" si="10"/>
        <v>255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7917</v>
      </c>
      <c r="X18" s="867">
        <f t="shared" si="11"/>
        <v>252</v>
      </c>
      <c r="Y18" s="868">
        <f t="shared" si="11"/>
        <v>8169</v>
      </c>
      <c r="Z18" s="868">
        <f t="shared" si="11"/>
        <v>0</v>
      </c>
      <c r="AA18" s="868">
        <f t="shared" si="11"/>
        <v>1827</v>
      </c>
      <c r="AB18" s="868">
        <f t="shared" si="11"/>
        <v>333</v>
      </c>
      <c r="AC18" s="868">
        <f t="shared" si="11"/>
        <v>2160</v>
      </c>
      <c r="AD18" s="868">
        <f t="shared" si="11"/>
        <v>0</v>
      </c>
      <c r="AE18" s="872">
        <f t="shared" si="11"/>
        <v>0</v>
      </c>
      <c r="AF18" s="865">
        <f t="shared" si="11"/>
        <v>0</v>
      </c>
      <c r="AG18" s="873">
        <f t="shared" si="11"/>
        <v>0</v>
      </c>
      <c r="AH18" s="870">
        <f t="shared" si="11"/>
        <v>0</v>
      </c>
      <c r="AI18" s="865">
        <f t="shared" si="11"/>
        <v>884</v>
      </c>
      <c r="AJ18" s="867">
        <f t="shared" si="11"/>
        <v>0</v>
      </c>
      <c r="AK18" s="870">
        <f t="shared" si="11"/>
        <v>0</v>
      </c>
      <c r="AL18" s="874">
        <f>IF(ISNUMBER(NºAsuntos!G18/NºAsuntos!E18),NºAsuntos!G18/NºAsuntos!E18," - ")</f>
        <v>1.0174784732039583</v>
      </c>
      <c r="AM18" s="874">
        <f>IF(ISNUMBER(((NºAsuntos!I18/NºAsuntos!G18)*11)/factor_trimestre),((NºAsuntos!I18/NºAsuntos!G18)*11)/factor_trimestre," - ")</f>
        <v>2.5384615384615388</v>
      </c>
      <c r="AN18" s="875">
        <f>IF(ISNUMBER('Resol  Asuntos'!D18/NºAsuntos!G18),'Resol  Asuntos'!D18/NºAsuntos!G18," - ")</f>
        <v>0.1116584564860427</v>
      </c>
      <c r="AO18" s="876">
        <f>IF(ISNUMBER((NºAsuntos!C18+NºAsuntos!E18)/NºAsuntos!G18),(NºAsuntos!C18+NºAsuntos!E18)/NºAsuntos!G18," - ")</f>
        <v>1.2223064292029808</v>
      </c>
      <c r="AP18" s="877" t="str">
        <f t="shared" si="2"/>
        <v xml:space="preserve"> - </v>
      </c>
      <c r="AQ18" s="877">
        <f>IF(ISNUMBER((H18-W18+K18)/(F18)),(H18-W18+K18)/(F18)," - ")</f>
        <v>-4.1385258755880816</v>
      </c>
      <c r="AR18" s="878">
        <f>IF(ISNUMBER((Datos!P18-Datos!Q18)/(Datos!R18-Datos!P18+Datos!Q18)),(Datos!P18-Datos!Q18)/(Datos!R18-Datos!P18+Datos!Q18)," - ")</f>
        <v>9.0909090909090905E-3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1955</v>
      </c>
      <c r="G19" s="821">
        <f t="shared" si="13"/>
        <v>1938</v>
      </c>
      <c r="H19" s="820">
        <f t="shared" si="13"/>
        <v>0</v>
      </c>
      <c r="I19" s="822">
        <f t="shared" si="13"/>
        <v>0</v>
      </c>
      <c r="J19" s="822">
        <f t="shared" si="13"/>
        <v>0</v>
      </c>
      <c r="K19" s="881">
        <f t="shared" si="13"/>
        <v>0</v>
      </c>
      <c r="L19" s="822">
        <f t="shared" si="13"/>
        <v>1703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8047</v>
      </c>
      <c r="X19" s="821">
        <f t="shared" si="14"/>
        <v>1564</v>
      </c>
      <c r="Y19" s="828">
        <f t="shared" si="14"/>
        <v>9611</v>
      </c>
      <c r="Z19" s="828">
        <f t="shared" si="14"/>
        <v>0</v>
      </c>
      <c r="AA19" s="828">
        <f t="shared" si="14"/>
        <v>1862</v>
      </c>
      <c r="AB19" s="828">
        <f t="shared" si="14"/>
        <v>8141</v>
      </c>
      <c r="AC19" s="828">
        <f t="shared" si="14"/>
        <v>2250</v>
      </c>
      <c r="AD19" s="828">
        <f t="shared" si="14"/>
        <v>0</v>
      </c>
      <c r="AE19" s="830">
        <f t="shared" si="14"/>
        <v>0</v>
      </c>
      <c r="AF19" s="831">
        <f t="shared" si="14"/>
        <v>0</v>
      </c>
      <c r="AG19" s="832">
        <f t="shared" si="14"/>
        <v>0</v>
      </c>
      <c r="AH19" s="830">
        <f t="shared" si="14"/>
        <v>0</v>
      </c>
      <c r="AI19" s="820">
        <f t="shared" si="14"/>
        <v>2424</v>
      </c>
      <c r="AJ19" s="820">
        <f t="shared" si="14"/>
        <v>0</v>
      </c>
      <c r="AK19" s="830">
        <f t="shared" si="14"/>
        <v>0</v>
      </c>
      <c r="AL19" s="884">
        <f>IF(ISNUMBER(NºAsuntos!G19/NºAsuntos!E19),NºAsuntos!G19/NºAsuntos!E19," - ")</f>
        <v>0.9694539510650253</v>
      </c>
      <c r="AM19" s="885">
        <f>IF(ISNUMBER(((NºAsuntos!I19/NºAsuntos!G19)*11)/factor_trimestre),((NºAsuntos!I19/NºAsuntos!G19)*11)/factor_trimestre," - ")</f>
        <v>5.3866905527161597</v>
      </c>
      <c r="AN19" s="885">
        <f>IF(ISNUMBER('Resol  Asuntos'!D19/NºAsuntos!G19),'Resol  Asuntos'!D19/NºAsuntos!G19," - ")</f>
        <v>0.12772011170240793</v>
      </c>
      <c r="AO19" s="886">
        <f>IF(ISNUMBER((NºAsuntos!C19+NºAsuntos!E19)/NºAsuntos!G19),(NºAsuntos!C19+NºAsuntos!E19)/NºAsuntos!G19," - ")</f>
        <v>1.4745244744190948</v>
      </c>
      <c r="AP19" s="887" t="str">
        <f t="shared" si="2"/>
        <v xml:space="preserve"> - </v>
      </c>
      <c r="AQ19" s="888">
        <f>IF(OR(ISNUMBER(FIND("01",Criterios!A8,1)),ISNUMBER(FIND("02",Criterios!A8,1)),ISNUMBER(FIND("03",Criterios!A8,1)),ISNUMBER(FIND("04",Criterios!A8,1))),(I19-W19+K19)/(F19-K19),(H19-W19+K19)/(F19-K19))</f>
        <v>-4.1161125319693097</v>
      </c>
      <c r="AR19" s="889">
        <f>IF(ISNUMBER((Datos!P19-Datos!Q19)/(Datos!R19-Datos!P19+Datos!Q19)),(Datos!P19-Datos!Q19)/(Datos!R19-Datos!P19+Datos!Q19)," - ")</f>
        <v>1.7370657335666083E-2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1080.2223536537897</v>
      </c>
      <c r="G21" s="253">
        <f>IF(ISNUMBER(STDEV(G8:G18)),STDEV(G8:G18),"-")</f>
        <v>1000.4854821535392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3839.6064511874129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646.10154000745115</v>
      </c>
      <c r="AJ21" s="252">
        <f t="shared" si="18"/>
        <v>0</v>
      </c>
      <c r="AK21" s="254">
        <f t="shared" si="18"/>
        <v>0</v>
      </c>
      <c r="AL21" s="249">
        <f t="shared" si="18"/>
        <v>4.965413298897621E-2</v>
      </c>
      <c r="AM21" s="250">
        <f t="shared" si="18"/>
        <v>2.7768097232232534</v>
      </c>
      <c r="AN21" s="250">
        <f t="shared" si="18"/>
        <v>5.4119586750739447E-2</v>
      </c>
      <c r="AO21" s="251">
        <f t="shared" si="18"/>
        <v>0.24422743618259199</v>
      </c>
      <c r="AP21" s="291" t="str">
        <f t="shared" si="18"/>
        <v>-</v>
      </c>
      <c r="AQ21" s="292">
        <f t="shared" si="18"/>
        <v>0.73771586421454172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vehJGF3MntL/SKp2kO937s4ABr0Qjy+HsgG5HtxGjTHKJVApb1WHSHYdJn3d6YzUMYJD2QaY3ICW2rusKm6lg==" saltValue="v+oadKv0coNVySFThlY8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COLLADO VILLALBA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-4.5454545454545456E-2</v>
      </c>
      <c r="E10" s="348">
        <f>IF(ISNUMBER((Datos!J10-Datos!T10)/Datos!T10),(Datos!J10-Datos!T10)/Datos!T10," - ")</f>
        <v>8.1967213114754103E-3</v>
      </c>
      <c r="F10" s="348">
        <f>IF(ISNUMBER((Datos!K10-Datos!U10)/Datos!U10),(Datos!K10-Datos!U10)/Datos!U10," - ")</f>
        <v>4.8387096774193547E-2</v>
      </c>
      <c r="G10" s="349">
        <f>IF(ISNUMBER((Datos!L10-Datos!V10)/Datos!V10),(Datos!L10-Datos!V10)/Datos!V10," - ")</f>
        <v>-0.16666666666666666</v>
      </c>
      <c r="H10" s="230">
        <f>IF(ISNUMBER((Datos!M10-Datos!W10)/Datos!W10),(Datos!M10-Datos!W10)/Datos!W10," - ")</f>
        <v>0.1</v>
      </c>
      <c r="I10" s="350">
        <f>IF(ISNUMBER((Tasas!C10-Datos!BE10)/Datos!BE10),(Tasas!C10-Datos!BE10)/Datos!BE10," - ")</f>
        <v>-0.20512820512820512</v>
      </c>
      <c r="J10" s="349">
        <f>IF(ISNUMBER((Tasas!D10-Datos!BF10)/Datos!BF10),(Tasas!D10-Datos!BF10)/Datos!BF10," - ")</f>
        <v>4.9230769230769141E-2</v>
      </c>
      <c r="K10" s="351">
        <f>IF(ISNUMBER((Tasas!E10-Datos!BG10)/Datos!BG10),(Tasas!E10-Datos!BG10)/Datos!BG10," - ")</f>
        <v>-5.1899907321594066E-2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0.26108786610878659</v>
      </c>
      <c r="I12" s="350">
        <f>IF(ISNUMBER((Tasas!C12-Datos!BE12)/Datos!BE12),(Tasas!C12-Datos!BE12)/Datos!BE12," - ")</f>
        <v>-0.10191901489098547</v>
      </c>
      <c r="J12" s="349">
        <f>IF(ISNUMBER((Tasas!D12-Datos!BF12)/Datos!BF12),(Tasas!D12-Datos!BF12)/Datos!BF12," - ")</f>
        <v>-0.78325560014183604</v>
      </c>
      <c r="K12" s="351">
        <f>IF(ISNUMBER((Tasas!E12-Datos!BG12)/Datos!BG12),(Tasas!E12-Datos!BG12)/Datos!BG12," - ")</f>
        <v>-1.6515367994147018E-2</v>
      </c>
      <c r="M12" t="e">
        <f>IF(Monitorios="SI",Datos!CE12,0)</f>
        <v>#REF!</v>
      </c>
      <c r="N12" t="e">
        <f>IF(Monitorios="SI",Datos!CF12,0)</f>
        <v>#REF!</v>
      </c>
      <c r="O12" t="e">
        <f>IF(Monitorios="SI",Datos!CG12,0)</f>
        <v>#REF!</v>
      </c>
      <c r="P12" t="e">
        <f>IF(Monitorios="SI",Datos!CH12,0)</f>
        <v>#REF!</v>
      </c>
      <c r="Q12">
        <f>IF(J_V="SI",0,Datos!AG12)</f>
        <v>136</v>
      </c>
      <c r="R12">
        <f>IF(J_V="SI",0,Datos!AH12)</f>
        <v>1015</v>
      </c>
      <c r="S12">
        <f>IF(J_V="SI",0,Datos!AI12)</f>
        <v>1014</v>
      </c>
      <c r="T12">
        <f>IF(J_V="SI",0,Datos!AJ12)</f>
        <v>137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0.25714285714285712</v>
      </c>
      <c r="I13" s="357">
        <f>IF(ISNUMBER((Tasas!C13-Datos!BE13)/Datos!BE13),(Tasas!C13-Datos!BE13)/Datos!BE13," - ")</f>
        <v>-0.10119125027708463</v>
      </c>
      <c r="J13" s="355">
        <f>IF(ISNUMBER((Tasas!D13-Datos!BF13)/Datos!BF13),(Tasas!D13-Datos!BF13)/Datos!BF13," - ")</f>
        <v>-0.77915548083671426</v>
      </c>
      <c r="K13" s="358">
        <f>IF(ISNUMBER((Tasas!E13-Datos!BG13)/Datos!BG13),(Tasas!E13-Datos!BG13)/Datos!BG13," - ")</f>
        <v>-1.6326636280168345E-2</v>
      </c>
      <c r="M13" t="e">
        <f>IF(Monitorios="SI",Datos!CE13,0)</f>
        <v>#REF!</v>
      </c>
      <c r="N13" t="e">
        <f>IF(Monitorios="SI",Datos!CF13,0)</f>
        <v>#REF!</v>
      </c>
      <c r="O13" t="e">
        <f>IF(Monitorios="SI",Datos!CG13,0)</f>
        <v>#REF!</v>
      </c>
      <c r="P13" t="e">
        <f>IF(Monitorios="SI",Datos!CH13,0)</f>
        <v>#REF!</v>
      </c>
      <c r="Q13">
        <f>IF(J_V="SI",0,Datos!AG13)</f>
        <v>136</v>
      </c>
      <c r="R13">
        <f>IF(J_V="SI",0,Datos!AH13)</f>
        <v>1015</v>
      </c>
      <c r="S13">
        <f>IF(J_V="SI",0,Datos!AI13)</f>
        <v>1014</v>
      </c>
      <c r="T13">
        <f>IF(J_V="SI",0,Datos!AJ13)</f>
        <v>137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0.3724907063197026</v>
      </c>
      <c r="E16" s="348">
        <f>IF(ISNUMBER(
   IF(D_I="SI",(Datos!J16-Datos!T16)/Datos!T16,(Datos!J16+Datos!AD16-(Datos!T16+Datos!AL16))/(Datos!T16+Datos!AL16))
     ),IF(D_I="SI",(Datos!J16-Datos!T16)/Datos!T16,(Datos!J16+Datos!AD16-(Datos!T16+Datos!AL16))/(Datos!T16+Datos!AL16))," - ")</f>
        <v>-8.1110805609018427E-2</v>
      </c>
      <c r="F16" s="348">
        <f>IF(ISNUMBER(
   IF(D_I="SI",(Datos!K16-Datos!U16)/Datos!U16,(Datos!K16+Datos!AE16-(Datos!U16+Datos!AM16))/(Datos!U16+Datos!AM16))
     ),IF(D_I="SI",(Datos!K16-Datos!U16)/Datos!U16,(Datos!K16+Datos!AE16-(Datos!U16+Datos!AM16))/(Datos!U16+Datos!AM16))," - ")</f>
        <v>-1.2826055627612049E-2</v>
      </c>
      <c r="G16" s="349">
        <f>IF(ISNUMBER(
   IF(D_I="SI",(Datos!L16-Datos!V16)/Datos!V16,(Datos!L16+Datos!AF16-(Datos!V16+Datos!AN16))/(Datos!V16+Datos!AN16))
     ),IF(D_I="SI",(Datos!L16-Datos!V16)/Datos!V16,(Datos!L16+Datos!AF16-(Datos!V16+Datos!AN16))/(Datos!V16+Datos!AN16))," - ")</f>
        <v>-5.3629469122426866E-2</v>
      </c>
      <c r="H16" s="230">
        <f>IF(ISNUMBER((Datos!M16-Datos!W16)/Datos!W16),(Datos!M16-Datos!W16)/Datos!W16," - ")</f>
        <v>-5.5485498108448932E-2</v>
      </c>
      <c r="I16" s="350">
        <f>IF(ISNUMBER((Tasas!C16-Datos!BE16)/Datos!BE16),(Tasas!C16-Datos!BE16)/Datos!BE16," - ")</f>
        <v>-4.1333560035112356E-2</v>
      </c>
      <c r="J16" s="349">
        <f>IF(ISNUMBER((Tasas!D16-Datos!BF16)/Datos!BF16),(Tasas!D16-Datos!BF16)/Datos!BF16," - ")</f>
        <v>-4.3213703850295923E-2</v>
      </c>
      <c r="K16" s="351">
        <f>IF(ISNUMBER((Tasas!E16-Datos!BG16)/Datos!BG16),(Tasas!E16-Datos!BG16)/Datos!BG16," - ")</f>
        <v>2.5325138909708276E-3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-0.36708860759493672</v>
      </c>
      <c r="E17" s="348">
        <f>IF(ISNUMBER(
   IF(D_I="SI",(Datos!J17-Datos!T17)/Datos!T17,(Datos!J17+Datos!AD17-(Datos!T17+Datos!AL17))/(Datos!T17+Datos!AL17))
     ),IF(D_I="SI",(Datos!J17-Datos!T17)/Datos!T17,(Datos!J17+Datos!AD17-(Datos!T17+Datos!AL17))/(Datos!T17+Datos!AL17))," - ")</f>
        <v>-5.4397098821396192E-3</v>
      </c>
      <c r="F17" s="348">
        <f>IF(ISNUMBER(
   IF(D_I="SI",(Datos!K17-Datos!U17)/Datos!U17,(Datos!K17+Datos!AE17-(Datos!U17+Datos!AM17))/(Datos!U17+Datos!AM17))
     ),IF(D_I="SI",(Datos!K17-Datos!U17)/Datos!U17,(Datos!K17+Datos!AE17-(Datos!U17+Datos!AM17))/(Datos!U17+Datos!AM17))," - ")</f>
        <v>-5.7420494699646642E-2</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0.08</v>
      </c>
      <c r="I17" s="350">
        <f>IF(ISNUMBER((Tasas!C17-Datos!BE17)/Datos!BE17),(Tasas!C17-Datos!BE17)/Datos!BE17," - ")</f>
        <v>0.69746954076850964</v>
      </c>
      <c r="J17" s="349">
        <f>IF(ISNUMBER((Tasas!D17-Datos!BF17)/Datos!BF17),(Tasas!D17-Datos!BF17)/Datos!BF17," - ")</f>
        <v>0.14579194001874413</v>
      </c>
      <c r="K17" s="351">
        <f>IF(ISNUMBER((Tasas!E17-Datos!BG17)/Datos!BG17),(Tasas!E17-Datos!BG17)/Datos!BG17," - ")</f>
        <v>2.9503787680562967E-2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0.33146067415730335</v>
      </c>
      <c r="E18" s="354">
        <f>IF(ISNUMBER(
   IF(D_I="SI",(Datos!J18-Datos!T18)/Datos!T18,(Datos!J18+Datos!AD18-(Datos!T18+Datos!AL18))/(Datos!T18+Datos!AL18))
     ),IF(D_I="SI",(Datos!J18-Datos!T18)/Datos!T18,(Datos!J18+Datos!AD18-(Datos!T18+Datos!AL18))/(Datos!T18+Datos!AL18))," - ")</f>
        <v>-7.1147188731049305E-2</v>
      </c>
      <c r="F18" s="354">
        <f>IF(ISNUMBER(
   IF(D_I="SI",(Datos!K18-Datos!U18)/Datos!U18,(Datos!K18+Datos!AE18-(Datos!U18+Datos!AM18))/(Datos!U18+Datos!AM18))
     ),IF(D_I="SI",(Datos!K18-Datos!U18)/Datos!U18,(Datos!K18+Datos!AE18-(Datos!U18+Datos!AM18))/(Datos!U18+Datos!AM18))," - ")</f>
        <v>-1.9080659150043366E-2</v>
      </c>
      <c r="G18" s="355">
        <f>IF(ISNUMBER(
   IF(D_I="SI",(Datos!L18-Datos!V18)/Datos!V18,(Datos!L18+Datos!AF18-(Datos!V18+Datos!AN18))/(Datos!V18+Datos!AN18))
     ),IF(D_I="SI",(Datos!L18-Datos!V18)/Datos!V18,(Datos!L18+Datos!AF18-(Datos!V18+Datos!AN18))/(Datos!V18+Datos!AN18))," - ")</f>
        <v>-3.6392405063291139E-2</v>
      </c>
      <c r="H18" s="356">
        <f>IF(ISNUMBER((Datos!M18-Datos!W18)/Datos!W18),(Datos!M18-Datos!W18)/Datos!W18," - ")</f>
        <v>-3.7037037037037035E-2</v>
      </c>
      <c r="I18" s="357">
        <f>IF(ISNUMBER((Tasas!C18-Datos!BE18)/Datos!BE18),(Tasas!C18-Datos!BE18)/Datos!BE18," - ")</f>
        <v>-1.7648490749756499E-2</v>
      </c>
      <c r="J18" s="355">
        <f>IF(ISNUMBER((Tasas!D18-Datos!BF18)/Datos!BF18),(Tasas!D18-Datos!BF18)/Datos!BF18," - ")</f>
        <v>-1.830566198382285E-2</v>
      </c>
      <c r="K18" s="358">
        <f>IF(ISNUMBER((Tasas!E18-Datos!BG18)/Datos!BG18),(Tasas!E18-Datos!BG18)/Datos!BG18," - ")</f>
        <v>6.5539424647747526E-3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0.39714190761050183</v>
      </c>
      <c r="E19" s="363">
        <f>IF(ISNUMBER(
   IF(J_V="SI",(Datos!J19-Datos!T19)/Datos!T19,(Datos!J19+Datos!Z19-(Datos!T19+Datos!AH19))/(Datos!T19+Datos!AH19))
     ),IF(J_V="SI",(Datos!J19-Datos!T19)/Datos!T19,(Datos!J19+Datos!Z19-(Datos!T19+Datos!AH19))/(Datos!T19+Datos!AH19))," - ")</f>
        <v>6.5588939690833875E-2</v>
      </c>
      <c r="F19" s="363">
        <f>IF(ISNUMBER(
   IF(J_V="SI",(Datos!K19-Datos!U19)/Datos!U19,(Datos!K19+Datos!AA19-(Datos!U19+Datos!AI19))/(Datos!U19+Datos!AI19))
     ),IF(J_V="SI",(Datos!K19-Datos!U19)/Datos!U19,(Datos!K19+Datos!AA19-(Datos!U19+Datos!AI19))/(Datos!U19+Datos!AI19))," - ")</f>
        <v>0.13361605542945884</v>
      </c>
      <c r="G19" s="364">
        <f>IF(ISNUMBER(
   IF(J_V="SI",(Datos!L19-Datos!V19)/Datos!V19,(Datos!L19+Datos!AB19-(Datos!V19+Datos!AJ19))/(Datos!V19+Datos!AJ19))
     ),IF(J_V="SI",(Datos!L19-Datos!V19)/Datos!V19,(Datos!L19+Datos!AB19-(Datos!V19+Datos!AJ19))/(Datos!V19+Datos!AJ19))," - ")</f>
        <v>0.10537583254043768</v>
      </c>
      <c r="H19" s="365">
        <f>IF(ISNUMBER((Datos!M19-Datos!W19)/Datos!W19),(Datos!M19-Datos!W19)/Datos!W19," - ")</f>
        <v>0.13112459169388707</v>
      </c>
      <c r="I19" s="362">
        <f>IF(ISNUMBER((Tasas!C19-Datos!BE19)/Datos!BE19),(Tasas!C19-Datos!BE19)/Datos!BE19," - ")</f>
        <v>-2.4911629253806532E-2</v>
      </c>
      <c r="J19" s="363">
        <f>IF(ISNUMBER((Tasas!D19-Datos!BF19)/Datos!BF19),(Tasas!D19-Datos!BF19)/Datos!BF19," - ")</f>
        <v>-0.66505480731176159</v>
      </c>
      <c r="K19" s="364">
        <f>IF(ISNUMBER((Tasas!E19-Datos!BG19)/Datos!BG19),(Tasas!E19-Datos!BG19)/Datos!BG19," - ")</f>
        <v>1.2156160341307332E-2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0.34842788712669598</v>
      </c>
      <c r="E21" s="278">
        <f t="shared" si="1"/>
        <v>4.5277021257721983E-2</v>
      </c>
      <c r="F21" s="278">
        <f t="shared" si="1"/>
        <v>4.3772062609668608E-2</v>
      </c>
      <c r="G21" s="279">
        <f t="shared" si="1"/>
        <v>0.34761694213933514</v>
      </c>
      <c r="H21" s="285">
        <f t="shared" si="1"/>
        <v>0.13710772205229699</v>
      </c>
      <c r="I21" s="277">
        <f t="shared" si="1"/>
        <v>0.3293486479303348</v>
      </c>
      <c r="J21" s="278">
        <f t="shared" si="1"/>
        <v>0.42571301552448199</v>
      </c>
      <c r="K21" s="279">
        <f t="shared" si="1"/>
        <v>2.7559978296003849E-2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lTEjwbqefVDexAuYO8U57fG59tKGVHu5XwmHGhSQpzTH1hMYrW4XcpjZgYRKJjNcuJ4jwbFUirUuixtZGGh5w==" saltValue="dRdHmsVOsaKPL+C0GwT9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